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vorlagenbauer1.sharepoint.com/sites/Vorlagenbauer/Freigegebene Dokumente/General/01 Aufträge/Stadt Bern - Grafikbistro - Polyconsult- Kooi/250129 Tiefbauamt Logo/Unbearbeitet/Beschaffung/"/>
    </mc:Choice>
  </mc:AlternateContent>
  <xr:revisionPtr revIDLastSave="12" documentId="13_ncr:1_{04805CAD-F4EA-4CE8-B1ED-C0AEB81D2250}" xr6:coauthVersionLast="47" xr6:coauthVersionMax="47" xr10:uidLastSave="{2ADC748F-7501-4D26-9B4B-25C0EBF31E7B}"/>
  <bookViews>
    <workbookView xWindow="-98" yWindow="-98" windowWidth="51796" windowHeight="21795" tabRatio="275" xr2:uid="{00000000-000D-0000-FFFF-FFFF00000000}"/>
  </bookViews>
  <sheets>
    <sheet name="Plausibilisierung Honorar" sheetId="8" r:id="rId1"/>
    <sheet name="Plausibilisierung BHU" sheetId="7" r:id="rId2"/>
  </sheets>
  <definedNames>
    <definedName name="_xlnm.Print_Area" localSheetId="1">'Plausibilisierung BHU'!$C$1:$AA$51</definedName>
    <definedName name="_xlnm.Print_Area" localSheetId="0">'Plausibilisierung Honorar'!$C$1:$AA$51</definedName>
    <definedName name="MwSt" localSheetId="1">'Plausibilisierung BHU'!$F$11</definedName>
    <definedName name="MwSt" localSheetId="0">'Plausibilisierung Honorar'!$F$11</definedName>
    <definedName name="MwSt">#REF!</definedName>
    <definedName name="Objektname" localSheetId="1">'Plausibilisierung BHU'!$C$6</definedName>
    <definedName name="Objektname" localSheetId="0">'Plausibilisierung Honorar'!$C$6</definedName>
    <definedName name="Objekt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8" l="1"/>
  <c r="M43" i="8"/>
  <c r="K43" i="8"/>
  <c r="I43" i="8"/>
  <c r="G43" i="8"/>
  <c r="N43" i="8" s="1"/>
  <c r="E43" i="8"/>
  <c r="C43" i="8"/>
  <c r="P42" i="8"/>
  <c r="M42" i="8"/>
  <c r="K42" i="8"/>
  <c r="I42" i="8"/>
  <c r="G42" i="8"/>
  <c r="E42" i="8"/>
  <c r="N42" i="8" s="1"/>
  <c r="C42" i="8"/>
  <c r="P40" i="8"/>
  <c r="C40" i="8"/>
  <c r="W38" i="8"/>
  <c r="U38" i="8"/>
  <c r="S38" i="8"/>
  <c r="P34" i="8"/>
  <c r="M34" i="8"/>
  <c r="K34" i="8"/>
  <c r="I34" i="8"/>
  <c r="G34" i="8"/>
  <c r="N34" i="8" s="1"/>
  <c r="E34" i="8"/>
  <c r="C34" i="8"/>
  <c r="P33" i="8"/>
  <c r="M33" i="8"/>
  <c r="K33" i="8"/>
  <c r="I33" i="8"/>
  <c r="G33" i="8"/>
  <c r="E33" i="8"/>
  <c r="N33" i="8" s="1"/>
  <c r="C33" i="8"/>
  <c r="P31" i="8"/>
  <c r="C31" i="8"/>
  <c r="W29" i="8"/>
  <c r="U29" i="8"/>
  <c r="S29" i="8"/>
  <c r="P25" i="8"/>
  <c r="M25" i="8"/>
  <c r="K25" i="8"/>
  <c r="I25" i="8"/>
  <c r="G25" i="8"/>
  <c r="N25" i="8" s="1"/>
  <c r="E25" i="8"/>
  <c r="C25" i="8"/>
  <c r="P24" i="8"/>
  <c r="M24" i="8"/>
  <c r="K24" i="8"/>
  <c r="I24" i="8"/>
  <c r="G24" i="8"/>
  <c r="E24" i="8"/>
  <c r="N24" i="8" s="1"/>
  <c r="C24" i="8"/>
  <c r="P22" i="8"/>
  <c r="C22" i="8"/>
  <c r="W20" i="8"/>
  <c r="U20" i="8"/>
  <c r="S20" i="8"/>
  <c r="D15" i="8"/>
  <c r="D16" i="8" s="1"/>
  <c r="R14" i="8"/>
  <c r="F14" i="8"/>
  <c r="H14" i="8" s="1"/>
  <c r="F13" i="8"/>
  <c r="H13" i="8" s="1"/>
  <c r="F14" i="7"/>
  <c r="H14" i="7" s="1"/>
  <c r="F13" i="7"/>
  <c r="H13" i="7" s="1"/>
  <c r="P43" i="7"/>
  <c r="M43" i="7"/>
  <c r="K43" i="7"/>
  <c r="I43" i="7"/>
  <c r="G43" i="7"/>
  <c r="E43" i="7"/>
  <c r="C43" i="7"/>
  <c r="P42" i="7"/>
  <c r="M42" i="7"/>
  <c r="K42" i="7"/>
  <c r="I42" i="7"/>
  <c r="G42" i="7"/>
  <c r="E42" i="7"/>
  <c r="C42" i="7"/>
  <c r="P40" i="7"/>
  <c r="C40" i="7"/>
  <c r="W38" i="7"/>
  <c r="U38" i="7"/>
  <c r="S38" i="7"/>
  <c r="P34" i="7"/>
  <c r="M34" i="7"/>
  <c r="K34" i="7"/>
  <c r="I34" i="7"/>
  <c r="G34" i="7"/>
  <c r="E34" i="7"/>
  <c r="C34" i="7"/>
  <c r="P33" i="7"/>
  <c r="M33" i="7"/>
  <c r="K33" i="7"/>
  <c r="I33" i="7"/>
  <c r="G33" i="7"/>
  <c r="E33" i="7"/>
  <c r="C33" i="7"/>
  <c r="P31" i="7"/>
  <c r="C31" i="7"/>
  <c r="W29" i="7"/>
  <c r="U29" i="7"/>
  <c r="S29" i="7"/>
  <c r="P25" i="7"/>
  <c r="M25" i="7"/>
  <c r="K25" i="7"/>
  <c r="I25" i="7"/>
  <c r="G25" i="7"/>
  <c r="E25" i="7"/>
  <c r="C25" i="7"/>
  <c r="P24" i="7"/>
  <c r="M24" i="7"/>
  <c r="K24" i="7"/>
  <c r="I24" i="7"/>
  <c r="G24" i="7"/>
  <c r="E24" i="7"/>
  <c r="C24" i="7"/>
  <c r="P22" i="7"/>
  <c r="C22" i="7"/>
  <c r="W20" i="7"/>
  <c r="U20" i="7"/>
  <c r="S20" i="7"/>
  <c r="D15" i="7"/>
  <c r="D16" i="7" s="1"/>
  <c r="R14" i="7"/>
  <c r="N34" i="7"/>
  <c r="U25" i="7"/>
  <c r="V25" i="7" s="1"/>
  <c r="N42" i="7"/>
  <c r="W42" i="7" s="1"/>
  <c r="X42" i="7" s="1"/>
  <c r="N43" i="7"/>
  <c r="W43" i="7" s="1"/>
  <c r="X43" i="7" s="1"/>
  <c r="N25" i="7"/>
  <c r="S34" i="7" s="1"/>
  <c r="T34" i="7" s="1"/>
  <c r="N24" i="7"/>
  <c r="S42" i="7" s="1"/>
  <c r="T42" i="7" s="1"/>
  <c r="F15" i="7"/>
  <c r="F16" i="7" s="1"/>
  <c r="S43" i="7"/>
  <c r="T43" i="7" s="1"/>
  <c r="U43" i="7"/>
  <c r="V43" i="7" s="1"/>
  <c r="U34" i="7"/>
  <c r="V34" i="7" s="1"/>
  <c r="S33" i="7"/>
  <c r="T33" i="7" s="1"/>
  <c r="F15" i="8" l="1"/>
  <c r="W43" i="8"/>
  <c r="X43" i="8" s="1"/>
  <c r="W34" i="8"/>
  <c r="X34" i="8" s="1"/>
  <c r="W25" i="8"/>
  <c r="X25" i="8" s="1"/>
  <c r="U43" i="8"/>
  <c r="V43" i="8" s="1"/>
  <c r="U34" i="8"/>
  <c r="V34" i="8" s="1"/>
  <c r="U25" i="8"/>
  <c r="V25" i="8" s="1"/>
  <c r="M13" i="8"/>
  <c r="K13" i="8"/>
  <c r="L13" i="8"/>
  <c r="Q42" i="8" s="1"/>
  <c r="J13" i="8"/>
  <c r="W42" i="8"/>
  <c r="X42" i="8" s="1"/>
  <c r="W24" i="8"/>
  <c r="X24" i="8" s="1"/>
  <c r="W33" i="8"/>
  <c r="X33" i="8" s="1"/>
  <c r="S42" i="8"/>
  <c r="T42" i="8" s="1"/>
  <c r="S33" i="8"/>
  <c r="T33" i="8" s="1"/>
  <c r="S24" i="8"/>
  <c r="T24" i="8" s="1"/>
  <c r="S43" i="8"/>
  <c r="T43" i="8" s="1"/>
  <c r="S25" i="8"/>
  <c r="T25" i="8" s="1"/>
  <c r="S34" i="8"/>
  <c r="T34" i="8" s="1"/>
  <c r="U42" i="8"/>
  <c r="V42" i="8" s="1"/>
  <c r="U24" i="8"/>
  <c r="V24" i="8" s="1"/>
  <c r="U33" i="8"/>
  <c r="V33" i="8" s="1"/>
  <c r="L14" i="8"/>
  <c r="Q43" i="8" s="1"/>
  <c r="K14" i="8"/>
  <c r="H15" i="8"/>
  <c r="H16" i="8" s="1"/>
  <c r="M14" i="8"/>
  <c r="M15" i="8" s="1"/>
  <c r="M16" i="8" s="1"/>
  <c r="J14" i="8"/>
  <c r="J13" i="7"/>
  <c r="J15" i="7" s="1"/>
  <c r="J16" i="7" s="1"/>
  <c r="M13" i="7"/>
  <c r="H15" i="7"/>
  <c r="H16" i="7" s="1"/>
  <c r="S24" i="7"/>
  <c r="T24" i="7" s="1"/>
  <c r="W25" i="7"/>
  <c r="X25" i="7" s="1"/>
  <c r="W34" i="7"/>
  <c r="X34" i="7" s="1"/>
  <c r="S25" i="7"/>
  <c r="T25" i="7" s="1"/>
  <c r="N33" i="7"/>
  <c r="U42" i="7" s="1"/>
  <c r="V42" i="7" s="1"/>
  <c r="U24" i="7"/>
  <c r="V24" i="7" s="1"/>
  <c r="L13" i="7"/>
  <c r="Q24" i="7"/>
  <c r="R24" i="7" s="1"/>
  <c r="K14" i="7"/>
  <c r="J14" i="7"/>
  <c r="M14" i="7"/>
  <c r="K13" i="7"/>
  <c r="L14" i="7"/>
  <c r="Q25" i="7"/>
  <c r="R25" i="7" s="1"/>
  <c r="W33" i="7"/>
  <c r="X33" i="7" s="1"/>
  <c r="W24" i="7"/>
  <c r="X24" i="7" s="1"/>
  <c r="Y24" i="7" l="1"/>
  <c r="Z25" i="7" s="1"/>
  <c r="Q33" i="8"/>
  <c r="R33" i="8" s="1"/>
  <c r="Y33" i="8" s="1"/>
  <c r="Z34" i="8" s="1"/>
  <c r="Q24" i="8"/>
  <c r="R24" i="8" s="1"/>
  <c r="Y24" i="8" s="1"/>
  <c r="Z25" i="8" s="1"/>
  <c r="J15" i="8"/>
  <c r="J16" i="8" s="1"/>
  <c r="Q34" i="8"/>
  <c r="R34" i="8" s="1"/>
  <c r="Y34" i="8" s="1"/>
  <c r="Q25" i="8"/>
  <c r="R25" i="8" s="1"/>
  <c r="Y25" i="8" s="1"/>
  <c r="R42" i="8"/>
  <c r="Y42" i="8" s="1"/>
  <c r="Z43" i="8" s="1"/>
  <c r="R43" i="8"/>
  <c r="Y43" i="8" s="1"/>
  <c r="M15" i="7"/>
  <c r="M16" i="7" s="1"/>
  <c r="K15" i="8"/>
  <c r="K16" i="8" s="1"/>
  <c r="L15" i="8"/>
  <c r="L16" i="8" s="1"/>
  <c r="K15" i="7"/>
  <c r="K16" i="7" s="1"/>
  <c r="Y25" i="7"/>
  <c r="U33" i="7"/>
  <c r="V33" i="7" s="1"/>
  <c r="Q34" i="7"/>
  <c r="R34" i="7" s="1"/>
  <c r="Y34" i="7" s="1"/>
  <c r="Q43" i="7"/>
  <c r="L15" i="7"/>
  <c r="L16" i="7" s="1"/>
  <c r="Q42" i="7"/>
  <c r="Q33" i="7"/>
  <c r="R33" i="7" s="1"/>
  <c r="Y33" i="7" l="1"/>
  <c r="Z34" i="7" s="1"/>
  <c r="R43" i="7"/>
  <c r="Y43" i="7"/>
  <c r="R42" i="7"/>
  <c r="Y42" i="7"/>
  <c r="Z43" i="7" s="1"/>
</calcChain>
</file>

<file path=xl/sharedStrings.xml><?xml version="1.0" encoding="utf-8"?>
<sst xmlns="http://schemas.openxmlformats.org/spreadsheetml/2006/main" count="293" uniqueCount="57">
  <si>
    <t>Angebot</t>
  </si>
  <si>
    <t>Preis</t>
  </si>
  <si>
    <t>Gewichtung</t>
  </si>
  <si>
    <t>N</t>
  </si>
  <si>
    <t>T</t>
  </si>
  <si>
    <t>Gesamtnote</t>
  </si>
  <si>
    <t>Nutzwert</t>
  </si>
  <si>
    <t>Brutto</t>
  </si>
  <si>
    <t>%</t>
  </si>
  <si>
    <t>Note</t>
  </si>
  <si>
    <t>exkl. MwSt.</t>
  </si>
  <si>
    <t>Fr.</t>
  </si>
  <si>
    <t>MwSt.</t>
  </si>
  <si>
    <t>in Fr.</t>
  </si>
  <si>
    <t>inkl. MwSt.</t>
  </si>
  <si>
    <t>Übersicht mögliche Preiskurven (Minuspunkte sind möglich)</t>
  </si>
  <si>
    <t>Preiskurve:</t>
  </si>
  <si>
    <t>(0 Punkte bei 200% Mehrkosten gegenüber dem preisgünstigsten Angebot, 0.05 Punkte Abzug pro 1% Mehrkosten gegenüber dem preisgünstigsten Angebot)</t>
  </si>
  <si>
    <t>(0 Punkte bei 125% Mehrkosten gegenüber dem preisgünstigsten Angebot, 0.20 Punkte Abzug pro 1% Mehrkosten gegenüber dem preisgünstigsten Angebot)</t>
  </si>
  <si>
    <t>(0 Punkte bei 150% Mehrkosten gegenüber dem preisgünstigsten Angebot, 0.10 Punkte Abzug pro 1% Mehrkosten gegenüber dem preisgünstigsten Angebot)</t>
  </si>
  <si>
    <t>günstigstes Angebot</t>
  </si>
  <si>
    <t>Kurve</t>
  </si>
  <si>
    <t>netto</t>
  </si>
  <si>
    <t>Kriterium  1</t>
  </si>
  <si>
    <t>Kriterium 2</t>
  </si>
  <si>
    <t>Kriterium 3</t>
  </si>
  <si>
    <t>Plausibilisierung Preiskurve</t>
  </si>
  <si>
    <t>Objektname einfügen</t>
  </si>
  <si>
    <t>Preiskurve auswählen</t>
  </si>
  <si>
    <t>Gewichtung einfügen</t>
  </si>
  <si>
    <t>(Benotung gleich wie bei Variante 1)</t>
  </si>
  <si>
    <t>Nutzwert bei Gewichtung Variante 1</t>
  </si>
  <si>
    <t>Nutzwert bei Gewichtung Variante 2</t>
  </si>
  <si>
    <t>Nutzwert bei Gewichtung Variante 3</t>
  </si>
  <si>
    <t>Gewichtung Variante 2 einfügen</t>
  </si>
  <si>
    <t>Gewichtung Variante 3 einfügen</t>
  </si>
  <si>
    <t>Kriterium 4</t>
  </si>
  <si>
    <t>Kriterium 5</t>
  </si>
  <si>
    <t>Benotung Zuschlagskriterium einfügen</t>
  </si>
  <si>
    <t>(Benotung wird aus Bewertungstabelle übernommen)</t>
  </si>
  <si>
    <t>Gewichtung Variante 1 einfügen</t>
  </si>
  <si>
    <t>961.052.V</t>
  </si>
  <si>
    <t>Bewertung Z 1:</t>
  </si>
  <si>
    <t>Bewertung Z 2:</t>
  </si>
  <si>
    <t>Bewertung Z 3:</t>
  </si>
  <si>
    <t>Bewertung Z 4:</t>
  </si>
  <si>
    <t>Vergleich Nutzwert bei unterschiedlicher Gewichtung der Zuschlagskriterien</t>
  </si>
  <si>
    <t>(gleiche Benotung und gleiche Preiskurve für alle 3 Varianten)</t>
  </si>
  <si>
    <t>Differenz in %</t>
  </si>
  <si>
    <t>Differenz abs.</t>
  </si>
  <si>
    <t>kritischer Preis</t>
  </si>
  <si>
    <t>Preise (bereits exkl. Skonti und Rabatte) für günstigstes und Vergleichsangebot einfügen, bei Bedarf weitere gelbe Felder anpassen</t>
  </si>
  <si>
    <t>Fachkompetenz</t>
  </si>
  <si>
    <t>Auftragsanalyse</t>
  </si>
  <si>
    <t>Präsentation</t>
  </si>
  <si>
    <t>Projektnummer / Projektname</t>
  </si>
  <si>
    <t>dfg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</si>
</sst>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.&quot;"/>
    <numFmt numFmtId="166" formatCode="0.0%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10"/>
      <color rgb="FF0070C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30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/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6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65" fontId="9" fillId="0" borderId="21" xfId="2" applyNumberFormat="1" applyFont="1" applyBorder="1" applyAlignment="1">
      <alignment horizontal="center" vertical="center"/>
    </xf>
    <xf numFmtId="2" fontId="9" fillId="0" borderId="21" xfId="2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0" borderId="19" xfId="2" applyFont="1" applyBorder="1" applyAlignment="1">
      <alignment horizontal="center" vertical="center"/>
    </xf>
    <xf numFmtId="2" fontId="1" fillId="0" borderId="19" xfId="2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2" fontId="9" fillId="0" borderId="7" xfId="2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9" fontId="9" fillId="6" borderId="0" xfId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horizontal="center" vertical="center" textRotation="9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" fontId="7" fillId="0" borderId="5" xfId="2" applyNumberFormat="1" applyFont="1" applyBorder="1" applyAlignment="1">
      <alignment horizontal="right" vertical="center" wrapText="1"/>
    </xf>
    <xf numFmtId="2" fontId="6" fillId="7" borderId="5" xfId="0" applyNumberFormat="1" applyFont="1" applyFill="1" applyBorder="1" applyAlignment="1">
      <alignment horizontal="right" vertical="center" wrapText="1"/>
    </xf>
    <xf numFmtId="4" fontId="7" fillId="0" borderId="6" xfId="2" applyNumberFormat="1" applyFont="1" applyBorder="1" applyAlignment="1">
      <alignment horizontal="right" vertical="center" wrapText="1"/>
    </xf>
    <xf numFmtId="2" fontId="6" fillId="7" borderId="6" xfId="0" applyNumberFormat="1" applyFont="1" applyFill="1" applyBorder="1" applyAlignment="1">
      <alignment horizontal="right" vertical="center" wrapText="1"/>
    </xf>
    <xf numFmtId="10" fontId="7" fillId="0" borderId="6" xfId="1" applyNumberFormat="1" applyFont="1" applyBorder="1" applyAlignment="1" applyProtection="1">
      <alignment horizontal="right" vertical="center" wrapText="1"/>
    </xf>
    <xf numFmtId="10" fontId="6" fillId="7" borderId="6" xfId="1" applyNumberFormat="1" applyFont="1" applyFill="1" applyBorder="1" applyAlignment="1" applyProtection="1">
      <alignment horizontal="right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16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/>
    <xf numFmtId="4" fontId="7" fillId="0" borderId="7" xfId="2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textRotation="90"/>
    </xf>
    <xf numFmtId="0" fontId="16" fillId="0" borderId="0" xfId="0" applyFont="1" applyAlignment="1">
      <alignment horizontal="left" wrapText="1"/>
    </xf>
    <xf numFmtId="0" fontId="9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" fontId="9" fillId="0" borderId="3" xfId="2" applyNumberFormat="1" applyFont="1" applyBorder="1" applyAlignment="1">
      <alignment horizontal="center" vertical="center"/>
    </xf>
    <xf numFmtId="4" fontId="9" fillId="0" borderId="26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4" fontId="4" fillId="0" borderId="4" xfId="2" applyNumberFormat="1" applyFont="1" applyBorder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166" fontId="1" fillId="2" borderId="4" xfId="1" applyNumberFormat="1" applyFont="1" applyFill="1" applyBorder="1" applyAlignment="1" applyProtection="1">
      <alignment horizontal="center" vertical="center"/>
      <protection locked="0"/>
    </xf>
    <xf numFmtId="166" fontId="1" fillId="2" borderId="25" xfId="1" applyNumberFormat="1" applyFont="1" applyFill="1" applyBorder="1" applyAlignment="1" applyProtection="1">
      <alignment horizontal="center" vertical="center"/>
      <protection locked="0"/>
    </xf>
    <xf numFmtId="4" fontId="4" fillId="0" borderId="25" xfId="2" applyNumberFormat="1" applyFont="1" applyBorder="1" applyAlignment="1">
      <alignment horizontal="center" vertical="center"/>
    </xf>
    <xf numFmtId="4" fontId="9" fillId="0" borderId="22" xfId="2" applyNumberFormat="1" applyFont="1" applyBorder="1" applyAlignment="1">
      <alignment horizontal="center" vertical="center"/>
    </xf>
    <xf numFmtId="4" fontId="9" fillId="0" borderId="15" xfId="2" applyNumberFormat="1" applyFont="1" applyBorder="1" applyAlignment="1">
      <alignment horizontal="center" vertical="center"/>
    </xf>
    <xf numFmtId="4" fontId="7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7" fillId="2" borderId="25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2" applyNumberFormat="1" applyFont="1" applyBorder="1" applyAlignment="1">
      <alignment horizontal="center" vertical="center" wrapText="1"/>
    </xf>
    <xf numFmtId="4" fontId="7" fillId="0" borderId="25" xfId="2" applyNumberFormat="1" applyFont="1" applyBorder="1" applyAlignment="1">
      <alignment horizontal="center" vertical="center" wrapText="1"/>
    </xf>
    <xf numFmtId="4" fontId="7" fillId="0" borderId="23" xfId="2" applyNumberFormat="1" applyFont="1" applyBorder="1" applyAlignment="1">
      <alignment horizontal="center" vertical="center" wrapText="1"/>
    </xf>
    <xf numFmtId="4" fontId="7" fillId="0" borderId="10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6" borderId="0" xfId="0" applyFont="1" applyFill="1" applyAlignment="1" applyProtection="1">
      <alignment horizontal="left" vertical="center"/>
      <protection locked="0"/>
    </xf>
    <xf numFmtId="0" fontId="9" fillId="0" borderId="22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4" fontId="7" fillId="2" borderId="23" xfId="2" applyNumberFormat="1" applyFont="1" applyFill="1" applyBorder="1" applyAlignment="1" applyProtection="1">
      <alignment horizontal="center" vertical="center" wrapText="1"/>
      <protection locked="0"/>
    </xf>
    <xf numFmtId="4" fontId="7" fillId="2" borderId="10" xfId="2" applyNumberFormat="1" applyFont="1" applyFill="1" applyBorder="1" applyAlignment="1" applyProtection="1">
      <alignment horizontal="center" vertical="center" wrapText="1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/>
    </xf>
    <xf numFmtId="10" fontId="7" fillId="0" borderId="15" xfId="1" applyNumberFormat="1" applyFont="1" applyFill="1" applyBorder="1" applyAlignment="1" applyProtection="1">
      <alignment horizontal="center" vertical="center" wrapText="1"/>
    </xf>
    <xf numFmtId="10" fontId="1" fillId="0" borderId="22" xfId="1" applyNumberFormat="1" applyFont="1" applyBorder="1" applyAlignment="1" applyProtection="1">
      <alignment horizontal="center" vertical="center" wrapText="1"/>
    </xf>
    <xf numFmtId="10" fontId="7" fillId="0" borderId="15" xfId="1" applyNumberFormat="1" applyFont="1" applyBorder="1" applyAlignment="1" applyProtection="1">
      <alignment horizontal="center" vertical="center" wrapText="1"/>
    </xf>
    <xf numFmtId="10" fontId="7" fillId="0" borderId="22" xfId="1" applyNumberFormat="1" applyFont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wrapText="1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</cellXfs>
  <cellStyles count="3">
    <cellStyle name="Prozent" xfId="1" builtinId="5"/>
    <cellStyle name="Standard" xfId="0" builtinId="0"/>
    <cellStyle name="Standard_322.062" xfId="2" xr:uid="{00000000-0005-0000-0000-000002000000}"/>
  </cellStyles>
  <dxfs count="8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00FF"/>
      <color rgb="FFFFFF99"/>
      <color rgb="FFFF33CC"/>
      <color rgb="FFFF99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785371</xdr:colOff>
      <xdr:row>0</xdr:row>
      <xdr:rowOff>273321</xdr:rowOff>
    </xdr:from>
    <xdr:to>
      <xdr:col>24</xdr:col>
      <xdr:colOff>357128</xdr:colOff>
      <xdr:row>2</xdr:row>
      <xdr:rowOff>22949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ACC42EA-F304-D8EC-66D6-9932BC307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4031" y="273321"/>
          <a:ext cx="120114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786004</xdr:colOff>
      <xdr:row>0</xdr:row>
      <xdr:rowOff>274660</xdr:rowOff>
    </xdr:from>
    <xdr:to>
      <xdr:col>24</xdr:col>
      <xdr:colOff>345448</xdr:colOff>
      <xdr:row>2</xdr:row>
      <xdr:rowOff>24583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A68FCA1-328A-60A0-884F-C8756AC3E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8648" y="274660"/>
          <a:ext cx="1186766" cy="54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D005-2BAF-40D1-8492-2AB991532611}">
  <sheetPr codeName="Tabelle5">
    <pageSetUpPr fitToPage="1"/>
  </sheetPr>
  <dimension ref="A1:AB274"/>
  <sheetViews>
    <sheetView tabSelected="1" topLeftCell="L1" zoomScaleNormal="100" zoomScaleSheetLayoutView="85" workbookViewId="0">
      <selection activeCell="L1" sqref="L1"/>
    </sheetView>
  </sheetViews>
  <sheetFormatPr baseColWidth="10" defaultColWidth="11.3984375" defaultRowHeight="0" customHeight="1" zeroHeight="1" x14ac:dyDescent="0.35"/>
  <cols>
    <col min="1" max="1" width="23.1328125" style="72" customWidth="1"/>
    <col min="2" max="2" width="1.73046875" customWidth="1"/>
    <col min="3" max="13" width="10.73046875" customWidth="1"/>
    <col min="14" max="14" width="13.1328125" customWidth="1"/>
    <col min="16" max="16" width="12.3984375" customWidth="1"/>
    <col min="26" max="26" width="15.86328125" customWidth="1"/>
    <col min="27" max="27" width="2.265625" customWidth="1"/>
    <col min="28" max="28" width="36.3984375" style="74" customWidth="1"/>
  </cols>
  <sheetData>
    <row r="1" spans="1:28" ht="55.5" customHeight="1" x14ac:dyDescent="0.35">
      <c r="C1" s="2" t="s">
        <v>41</v>
      </c>
      <c r="D1" s="2"/>
      <c r="E1" s="2"/>
      <c r="F1" s="2"/>
      <c r="G1" s="2"/>
      <c r="H1" s="2"/>
      <c r="I1" s="109"/>
      <c r="J1" s="109"/>
      <c r="K1" s="33"/>
      <c r="L1" s="2"/>
      <c r="M1" s="2"/>
      <c r="N1" s="2"/>
      <c r="O1" s="2"/>
      <c r="P1" s="2"/>
      <c r="Q1" s="34"/>
      <c r="R1" s="35"/>
      <c r="S1" s="35"/>
      <c r="T1" s="35"/>
      <c r="U1" s="35"/>
      <c r="V1" s="35"/>
      <c r="W1" s="35"/>
      <c r="X1" s="35"/>
      <c r="Y1" s="35"/>
      <c r="AA1" s="3"/>
    </row>
    <row r="2" spans="1:28" ht="6.75" customHeight="1" x14ac:dyDescent="0.35">
      <c r="C2" s="2"/>
      <c r="D2" s="36"/>
      <c r="E2" s="36"/>
      <c r="F2" s="36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8" ht="6.75" customHeight="1" x14ac:dyDescent="0.35">
      <c r="C3" s="2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8" s="2" customFormat="1" ht="22.5" x14ac:dyDescent="0.35">
      <c r="A4" s="73"/>
      <c r="C4" s="29" t="s">
        <v>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Y4" s="5"/>
      <c r="AA4" s="6"/>
      <c r="AB4" s="76"/>
    </row>
    <row r="5" spans="1:28" ht="12" customHeight="1" x14ac:dyDescent="0.3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8" s="1" customFormat="1" ht="21" customHeight="1" x14ac:dyDescent="0.5">
      <c r="A6" s="82" t="s">
        <v>27</v>
      </c>
      <c r="C6" s="110" t="s">
        <v>55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4"/>
      <c r="AB6" s="86"/>
    </row>
    <row r="7" spans="1:28" s="2" customFormat="1" ht="36" customHeight="1" x14ac:dyDescent="0.35">
      <c r="A7" s="83"/>
      <c r="N7" s="27"/>
      <c r="AB7" s="87"/>
    </row>
    <row r="8" spans="1:28" ht="18" customHeight="1" x14ac:dyDescent="0.35">
      <c r="A8" s="84"/>
      <c r="C8" s="28" t="s">
        <v>42</v>
      </c>
      <c r="D8" s="36"/>
      <c r="E8" s="31" t="s">
        <v>1</v>
      </c>
      <c r="F8" s="36"/>
      <c r="G8" s="36"/>
      <c r="H8" s="37"/>
      <c r="I8" s="2"/>
      <c r="J8" s="2"/>
      <c r="K8" s="2"/>
      <c r="L8" s="2"/>
      <c r="M8" s="2"/>
      <c r="N8" s="27"/>
      <c r="O8" s="2"/>
      <c r="P8" s="28" t="s">
        <v>46</v>
      </c>
      <c r="Q8" s="2"/>
      <c r="R8" s="2"/>
      <c r="S8" s="2"/>
      <c r="T8" s="2"/>
      <c r="U8" s="2"/>
      <c r="V8" s="2"/>
      <c r="W8" s="2"/>
      <c r="X8" s="2"/>
      <c r="Y8" s="2"/>
      <c r="AB8" s="82"/>
    </row>
    <row r="9" spans="1:28" s="2" customFormat="1" ht="7.5" customHeight="1" x14ac:dyDescent="0.35">
      <c r="A9" s="83"/>
      <c r="N9" s="27"/>
      <c r="AB9" s="87"/>
    </row>
    <row r="10" spans="1:28" ht="12.75" customHeight="1" x14ac:dyDescent="0.35">
      <c r="A10" s="91" t="s">
        <v>51</v>
      </c>
      <c r="C10" s="38" t="s">
        <v>0</v>
      </c>
      <c r="D10" s="92" t="s">
        <v>7</v>
      </c>
      <c r="E10" s="93"/>
      <c r="F10" s="94" t="s">
        <v>12</v>
      </c>
      <c r="G10" s="95"/>
      <c r="H10" s="92" t="s">
        <v>22</v>
      </c>
      <c r="I10" s="93"/>
      <c r="J10" s="39"/>
      <c r="K10" s="90" t="s">
        <v>9</v>
      </c>
      <c r="L10" s="90" t="s">
        <v>9</v>
      </c>
      <c r="M10" s="90" t="s">
        <v>9</v>
      </c>
      <c r="N10" s="2"/>
      <c r="O10" s="2"/>
      <c r="P10" s="27" t="s">
        <v>47</v>
      </c>
      <c r="Q10" s="40"/>
      <c r="R10" s="2"/>
      <c r="S10" s="2"/>
      <c r="T10" s="2"/>
      <c r="U10" s="2"/>
      <c r="V10" s="2"/>
      <c r="W10" s="2"/>
      <c r="X10" s="2"/>
      <c r="Y10" s="2"/>
      <c r="AB10" s="82"/>
    </row>
    <row r="11" spans="1:28" s="18" customFormat="1" ht="12.75" customHeight="1" x14ac:dyDescent="0.35">
      <c r="A11" s="91"/>
      <c r="C11" s="41"/>
      <c r="D11" s="96" t="s">
        <v>10</v>
      </c>
      <c r="E11" s="97"/>
      <c r="F11" s="98">
        <v>8.1000000000000003E-2</v>
      </c>
      <c r="G11" s="99"/>
      <c r="H11" s="96" t="s">
        <v>14</v>
      </c>
      <c r="I11" s="100"/>
      <c r="J11" s="42" t="s">
        <v>8</v>
      </c>
      <c r="K11" s="43">
        <v>1.25</v>
      </c>
      <c r="L11" s="43">
        <v>1.5</v>
      </c>
      <c r="M11" s="43">
        <v>2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AB11" s="82"/>
    </row>
    <row r="12" spans="1:28" ht="13.5" x14ac:dyDescent="0.35">
      <c r="A12" s="91"/>
      <c r="C12" s="44"/>
      <c r="D12" s="101" t="s">
        <v>11</v>
      </c>
      <c r="E12" s="102"/>
      <c r="F12" s="111" t="s">
        <v>13</v>
      </c>
      <c r="G12" s="112"/>
      <c r="H12" s="101" t="s">
        <v>11</v>
      </c>
      <c r="I12" s="102"/>
      <c r="J12" s="45"/>
      <c r="K12" s="46" t="s">
        <v>21</v>
      </c>
      <c r="L12" s="46" t="s">
        <v>21</v>
      </c>
      <c r="M12" s="46" t="s">
        <v>21</v>
      </c>
      <c r="N12" s="30"/>
      <c r="O12" s="2"/>
      <c r="Q12" s="40"/>
      <c r="R12" s="2"/>
      <c r="S12" s="2"/>
      <c r="T12" s="2"/>
      <c r="U12" s="2"/>
      <c r="V12" s="2"/>
      <c r="W12" s="2"/>
      <c r="X12" s="2"/>
      <c r="Y12" s="2"/>
      <c r="AB12" s="82"/>
    </row>
    <row r="13" spans="1:28" s="8" customFormat="1" ht="23.25" customHeight="1" x14ac:dyDescent="0.35">
      <c r="A13" s="91"/>
      <c r="C13" s="12" t="s">
        <v>20</v>
      </c>
      <c r="D13" s="113">
        <v>750000</v>
      </c>
      <c r="E13" s="114"/>
      <c r="F13" s="107">
        <f>IF(ISBLANK(D13),"",ROUND(D13*MwSt*20,0)/20)</f>
        <v>60750</v>
      </c>
      <c r="G13" s="108"/>
      <c r="H13" s="107">
        <f>IF(ISBLANK(D13),"",ROUND((D13+F13)*20,0)/20)</f>
        <v>810750</v>
      </c>
      <c r="I13" s="108"/>
      <c r="J13" s="61">
        <f>IF(ISBLANK(D13),"",H13/(MIN(H$13:H$14)/100))</f>
        <v>100</v>
      </c>
      <c r="K13" s="62">
        <f>IF(ISBLANK(D13),"",5-0.2*($H$13-MIN($H$13:$H$14))/(MIN($H$13:$H$14)/100))</f>
        <v>5</v>
      </c>
      <c r="L13" s="62">
        <f>IF(ISBLANK(D13),"",5-0.1*($H$13-MIN($H$13:$H$14))/(MIN($H$13:$H$14)/100))</f>
        <v>5</v>
      </c>
      <c r="M13" s="62">
        <f>IF(ISBLANK(D13),"",5-0.05*($H$13-MIN($H$13:$H$14))/(MIN($H$13:$H$14)/100))</f>
        <v>5</v>
      </c>
      <c r="N13" s="30"/>
      <c r="O13" s="33"/>
      <c r="P13" s="2"/>
      <c r="Q13" s="40"/>
      <c r="R13" s="2"/>
      <c r="S13" s="2"/>
      <c r="T13" s="2"/>
      <c r="U13" s="2"/>
      <c r="V13" s="2"/>
      <c r="W13" s="2"/>
      <c r="X13" s="75"/>
      <c r="Y13" s="2"/>
      <c r="AB13" s="82"/>
    </row>
    <row r="14" spans="1:28" s="8" customFormat="1" ht="23.25" customHeight="1" x14ac:dyDescent="0.35">
      <c r="A14" s="91"/>
      <c r="C14" s="14" t="s">
        <v>0</v>
      </c>
      <c r="D14" s="103">
        <v>1100000</v>
      </c>
      <c r="E14" s="104"/>
      <c r="F14" s="105">
        <f>IF(ISBLANK(D14),"",ROUND(D14*MwSt*20,0)/20)</f>
        <v>89100</v>
      </c>
      <c r="G14" s="106"/>
      <c r="H14" s="105">
        <f>IF(ISBLANK(D14),"",ROUND((D14+F14)*20,0)/20)</f>
        <v>1189100</v>
      </c>
      <c r="I14" s="106"/>
      <c r="J14" s="63">
        <f>IF(ISBLANK(D14),"",H14/(MIN(H$13:H$14)/100))</f>
        <v>146.66666666666666</v>
      </c>
      <c r="K14" s="64">
        <f>IF(ISBLANK(D14),"",5-0.2*($H$14-MIN($H$13:$H$14))/(MIN($H$13:$H$14)/100))</f>
        <v>-4.3333333333333339</v>
      </c>
      <c r="L14" s="64">
        <f>IF(ISBLANK(D14),"",5-0.1*($H$14-MIN($H$13:$H$14))/(MIN($H$13:$H$14)/100))</f>
        <v>0.33333333333333304</v>
      </c>
      <c r="M14" s="64">
        <f>IF(ISBLANK(D14),"",5-0.05*($H$14-MIN($H$13:$H$14))/(MIN($H$13:$H$14)/100))</f>
        <v>2.6666666666666665</v>
      </c>
      <c r="N14" s="30"/>
      <c r="O14" s="33"/>
      <c r="P14" s="9" t="s">
        <v>16</v>
      </c>
      <c r="Q14" s="49">
        <v>1.25</v>
      </c>
      <c r="R14" s="10" t="str">
        <f>"("&amp;IF(EXACT(Q14,$C$47),0.2,IF(EXACT(Q14,$C$48),0.1,0.05))&amp;" Punkte Abzug pro 1% Mehrkosten gegenüber dem preisgünstigesten Angebot)"</f>
        <v>(0.2 Punkte Abzug pro 1% Mehrkosten gegenüber dem preisgünstigesten Angebot)</v>
      </c>
      <c r="S14" s="2"/>
      <c r="T14" s="2"/>
      <c r="U14" s="33"/>
      <c r="V14" s="33"/>
      <c r="W14" s="2"/>
      <c r="X14" s="2"/>
      <c r="Y14" s="2"/>
      <c r="AB14" s="82" t="s">
        <v>28</v>
      </c>
    </row>
    <row r="15" spans="1:28" s="8" customFormat="1" ht="23.25" customHeight="1" x14ac:dyDescent="0.35">
      <c r="A15" s="91"/>
      <c r="C15" s="12" t="s">
        <v>49</v>
      </c>
      <c r="D15" s="107">
        <f>IF(OR(ISBLANK($D$13),ISBLANK($D$14)),"",D14-D13)</f>
        <v>350000</v>
      </c>
      <c r="E15" s="108"/>
      <c r="F15" s="107">
        <f>IF(OR(ISBLANK($D$13),ISBLANK($D$14)),"",F14-F13)</f>
        <v>28350</v>
      </c>
      <c r="G15" s="108"/>
      <c r="H15" s="107">
        <f>IF(OR(ISBLANK($D$13),ISBLANK($D$14)),"",H14-H13)</f>
        <v>378350</v>
      </c>
      <c r="I15" s="108"/>
      <c r="J15" s="61">
        <f>IF(OR(ISBLANK($D$13),ISBLANK($D$14)),"",J14-J13)</f>
        <v>46.666666666666657</v>
      </c>
      <c r="K15" s="62">
        <f>IF(OR(ISBLANK($D$13),ISBLANK($D$14)),"",K14-K13)</f>
        <v>-9.3333333333333339</v>
      </c>
      <c r="L15" s="62">
        <f>IF(OR(ISBLANK($D$13),ISBLANK($D$14)),"",L14-L13)</f>
        <v>-4.666666666666667</v>
      </c>
      <c r="M15" s="62">
        <f>IF(OR(ISBLANK($D$13),ISBLANK($D$14)),"",M14-M13)</f>
        <v>-2.3333333333333335</v>
      </c>
      <c r="N15" s="30"/>
      <c r="O15" s="33"/>
      <c r="P15" s="9"/>
      <c r="Q15" s="9"/>
      <c r="R15" s="10"/>
      <c r="S15" s="2"/>
      <c r="T15" s="2"/>
      <c r="U15" s="33"/>
      <c r="V15" s="33"/>
      <c r="W15" s="2"/>
      <c r="X15" s="2"/>
      <c r="Y15" s="2"/>
      <c r="AB15" s="82"/>
    </row>
    <row r="16" spans="1:28" s="8" customFormat="1" ht="23.25" customHeight="1" x14ac:dyDescent="0.35">
      <c r="A16" s="85"/>
      <c r="C16" s="14" t="s">
        <v>48</v>
      </c>
      <c r="D16" s="115">
        <f>IF(OR(ISBLANK($D$13),ISBLANK($D$14)),"",D15/D13)</f>
        <v>0.46666666666666667</v>
      </c>
      <c r="E16" s="116"/>
      <c r="F16" s="117" t="s">
        <v>56</v>
      </c>
      <c r="G16" s="118"/>
      <c r="H16" s="119">
        <f>IF(OR(ISBLANK($D$13),ISBLANK($D$14)),"",H15/H13)</f>
        <v>0.46666666666666667</v>
      </c>
      <c r="I16" s="118"/>
      <c r="J16" s="65">
        <f>IF(OR(ISBLANK($D$13),ISBLANK($D$14)),"",J15/J13)</f>
        <v>0.46666666666666656</v>
      </c>
      <c r="K16" s="66">
        <f>IF(OR(ISBLANK($D$13),ISBLANK($D$14)),"",K15/K13)</f>
        <v>-1.8666666666666667</v>
      </c>
      <c r="L16" s="66">
        <f>IF(OR(ISBLANK($D$13),ISBLANK($D$14)),"",L15/L13)</f>
        <v>-0.93333333333333335</v>
      </c>
      <c r="M16" s="66">
        <f>IF(OR(ISBLANK($D$13),ISBLANK($D$14)),"",M15/M13)</f>
        <v>-0.46666666666666667</v>
      </c>
      <c r="N16" s="30"/>
      <c r="O16" s="33"/>
      <c r="P16" s="9"/>
      <c r="Q16" s="9"/>
      <c r="R16" s="10"/>
      <c r="S16" s="2"/>
      <c r="T16" s="2"/>
      <c r="U16" s="33"/>
      <c r="V16" s="33"/>
      <c r="W16" s="2"/>
      <c r="X16" s="2"/>
      <c r="Y16" s="2"/>
      <c r="AB16" s="82"/>
    </row>
    <row r="17" spans="1:28" ht="14.25" customHeight="1" x14ac:dyDescent="0.35">
      <c r="A17" s="84"/>
      <c r="C17" s="2"/>
      <c r="D17" s="40"/>
      <c r="E17" s="2"/>
      <c r="F17" s="2"/>
      <c r="G17" s="2"/>
      <c r="H17" s="2"/>
      <c r="I17" s="2"/>
      <c r="J17" s="2"/>
      <c r="K17" s="2"/>
      <c r="L17" s="2"/>
      <c r="M17" s="2"/>
      <c r="N17" s="2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AB17" s="82"/>
    </row>
    <row r="18" spans="1:28" ht="21" customHeight="1" x14ac:dyDescent="0.35">
      <c r="A18" s="84"/>
      <c r="C18" s="28" t="s">
        <v>43</v>
      </c>
      <c r="D18" s="5"/>
      <c r="E18" s="120" t="s">
        <v>52</v>
      </c>
      <c r="F18" s="120"/>
      <c r="G18" s="120"/>
      <c r="H18" s="5"/>
      <c r="I18" s="5"/>
      <c r="J18" s="5"/>
      <c r="K18" s="5"/>
      <c r="L18" s="5"/>
      <c r="M18" s="5"/>
      <c r="N18" s="2"/>
      <c r="O18" s="2"/>
      <c r="P18" s="9" t="s">
        <v>31</v>
      </c>
      <c r="Q18" s="40"/>
      <c r="R18" s="2"/>
      <c r="S18" s="2"/>
      <c r="T18" s="2"/>
      <c r="U18" s="2"/>
      <c r="V18" s="2"/>
      <c r="W18" s="2"/>
      <c r="X18" s="2"/>
      <c r="Y18" s="2"/>
      <c r="AB18" s="82"/>
    </row>
    <row r="19" spans="1:28" ht="7.5" customHeight="1" x14ac:dyDescent="0.35">
      <c r="A19" s="8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0"/>
      <c r="R19" s="2"/>
      <c r="S19" s="2"/>
      <c r="T19" s="2"/>
      <c r="U19" s="2"/>
      <c r="V19" s="2"/>
      <c r="W19" s="2"/>
      <c r="X19" s="2"/>
      <c r="Y19" s="2"/>
      <c r="AB19" s="82"/>
    </row>
    <row r="20" spans="1:28" ht="13.5" customHeight="1" x14ac:dyDescent="0.35">
      <c r="A20" s="84"/>
      <c r="C20" s="32"/>
      <c r="D20" s="121" t="s">
        <v>23</v>
      </c>
      <c r="E20" s="122"/>
      <c r="F20" s="121" t="s">
        <v>24</v>
      </c>
      <c r="G20" s="122"/>
      <c r="H20" s="121" t="s">
        <v>25</v>
      </c>
      <c r="I20" s="122"/>
      <c r="J20" s="121" t="s">
        <v>36</v>
      </c>
      <c r="K20" s="122"/>
      <c r="L20" s="121" t="s">
        <v>37</v>
      </c>
      <c r="M20" s="122"/>
      <c r="N20" s="50"/>
      <c r="O20" s="2"/>
      <c r="P20" s="52"/>
      <c r="Q20" s="124" t="s">
        <v>1</v>
      </c>
      <c r="R20" s="125"/>
      <c r="S20" s="124" t="str">
        <f>$E$18</f>
        <v>Fachkompetenz</v>
      </c>
      <c r="T20" s="125"/>
      <c r="U20" s="124" t="str">
        <f>$E$27</f>
        <v>Auftragsanalyse</v>
      </c>
      <c r="V20" s="125"/>
      <c r="W20" s="124" t="str">
        <f>$E$36</f>
        <v>Präsentation</v>
      </c>
      <c r="X20" s="125"/>
      <c r="Y20" s="50"/>
      <c r="AB20" s="91" t="s">
        <v>40</v>
      </c>
    </row>
    <row r="21" spans="1:28" ht="13.5" customHeight="1" x14ac:dyDescent="0.35">
      <c r="A21" s="84" t="s">
        <v>29</v>
      </c>
      <c r="C21" s="11" t="s">
        <v>2</v>
      </c>
      <c r="D21" s="126">
        <v>100</v>
      </c>
      <c r="E21" s="127"/>
      <c r="F21" s="126">
        <v>0</v>
      </c>
      <c r="G21" s="127"/>
      <c r="H21" s="126">
        <v>0</v>
      </c>
      <c r="I21" s="127"/>
      <c r="J21" s="126">
        <v>0</v>
      </c>
      <c r="K21" s="127"/>
      <c r="L21" s="126">
        <v>0</v>
      </c>
      <c r="M21" s="127"/>
      <c r="N21" s="50"/>
      <c r="O21" s="2"/>
      <c r="P21" s="11" t="s">
        <v>2</v>
      </c>
      <c r="Q21" s="128">
        <v>30</v>
      </c>
      <c r="R21" s="129"/>
      <c r="S21" s="128">
        <v>20</v>
      </c>
      <c r="T21" s="129"/>
      <c r="U21" s="128">
        <v>35</v>
      </c>
      <c r="V21" s="129"/>
      <c r="W21" s="128">
        <v>15</v>
      </c>
      <c r="X21" s="129"/>
      <c r="Y21" s="50"/>
      <c r="AB21" s="91"/>
    </row>
    <row r="22" spans="1:28" ht="13.5" customHeight="1" x14ac:dyDescent="0.35">
      <c r="A22" s="84"/>
      <c r="C22" s="58" t="str">
        <f>IF(D21+F21+H21+J21+L21=100,"RICHTIG",FALSE)</f>
        <v>RICHTIG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51"/>
      <c r="O22" s="2"/>
      <c r="P22" s="58" t="str">
        <f>IF(Q21+S21+U21+W21=100,"RICHTIG",FALSE)</f>
        <v>RICHTIG</v>
      </c>
      <c r="Q22" s="19"/>
      <c r="R22" s="20"/>
      <c r="S22" s="19"/>
      <c r="T22" s="20"/>
      <c r="U22" s="19"/>
      <c r="V22" s="20"/>
      <c r="W22" s="19"/>
      <c r="X22" s="20"/>
      <c r="Y22" s="51"/>
      <c r="AB22" s="88"/>
    </row>
    <row r="23" spans="1:28" ht="13.5" customHeight="1" x14ac:dyDescent="0.35">
      <c r="A23" s="84"/>
      <c r="C23" s="21"/>
      <c r="D23" s="22" t="s">
        <v>3</v>
      </c>
      <c r="E23" s="23" t="s">
        <v>4</v>
      </c>
      <c r="F23" s="22" t="s">
        <v>3</v>
      </c>
      <c r="G23" s="23" t="s">
        <v>4</v>
      </c>
      <c r="H23" s="22" t="s">
        <v>3</v>
      </c>
      <c r="I23" s="23" t="s">
        <v>4</v>
      </c>
      <c r="J23" s="22" t="s">
        <v>3</v>
      </c>
      <c r="K23" s="23" t="s">
        <v>4</v>
      </c>
      <c r="L23" s="22" t="s">
        <v>3</v>
      </c>
      <c r="M23" s="23" t="s">
        <v>4</v>
      </c>
      <c r="N23" s="69" t="s">
        <v>5</v>
      </c>
      <c r="O23" s="2"/>
      <c r="P23" s="21" t="s">
        <v>0</v>
      </c>
      <c r="Q23" s="22" t="s">
        <v>3</v>
      </c>
      <c r="R23" s="23" t="s">
        <v>4</v>
      </c>
      <c r="S23" s="22" t="s">
        <v>3</v>
      </c>
      <c r="T23" s="23" t="s">
        <v>4</v>
      </c>
      <c r="U23" s="22" t="s">
        <v>3</v>
      </c>
      <c r="V23" s="23" t="s">
        <v>4</v>
      </c>
      <c r="W23" s="22" t="s">
        <v>3</v>
      </c>
      <c r="X23" s="23" t="s">
        <v>4</v>
      </c>
      <c r="Y23" s="56" t="s">
        <v>6</v>
      </c>
      <c r="Z23" s="69" t="s">
        <v>50</v>
      </c>
      <c r="AB23" s="82"/>
    </row>
    <row r="24" spans="1:28" ht="23.25" customHeight="1" x14ac:dyDescent="0.35">
      <c r="A24" s="123" t="s">
        <v>38</v>
      </c>
      <c r="C24" s="13" t="str">
        <f>'Plausibilisierung Honorar'!$C$13</f>
        <v>günstigstes Angebot</v>
      </c>
      <c r="D24" s="15">
        <v>3</v>
      </c>
      <c r="E24" s="16">
        <f>IF(ISBLANK(D24),"",D24*$D$21)</f>
        <v>300</v>
      </c>
      <c r="F24" s="15">
        <v>0</v>
      </c>
      <c r="G24" s="16">
        <f>IF(ISBLANK(F24),"",F24*$F$21)</f>
        <v>0</v>
      </c>
      <c r="H24" s="15">
        <v>0</v>
      </c>
      <c r="I24" s="17">
        <f>IF(ISBLANK(H24),"",H24*$H$21)</f>
        <v>0</v>
      </c>
      <c r="J24" s="15">
        <v>0</v>
      </c>
      <c r="K24" s="17">
        <f>IF(ISBLANK(J24),"",J24*$J$21)</f>
        <v>0</v>
      </c>
      <c r="L24" s="15">
        <v>0</v>
      </c>
      <c r="M24" s="17">
        <f>IF(ISBLANK(L24),"",L24*$L$21)</f>
        <v>0</v>
      </c>
      <c r="N24" s="67">
        <f>IF(ISBLANK(D24),"",ROUND(SUM(E24,G24,I24,K24,M24)/100,1))</f>
        <v>3</v>
      </c>
      <c r="O24" s="2"/>
      <c r="P24" s="13" t="str">
        <f>$C$13</f>
        <v>günstigstes Angebot</v>
      </c>
      <c r="Q24" s="24">
        <f>IF($H$13="","",IF(EXACT($Q$14,$K$11),$K$13,IF(EXACT($Q$14,$L$11),$L$13,$M$13)))</f>
        <v>5</v>
      </c>
      <c r="R24" s="70">
        <f>IF($D$13="","",Q24*Q21)</f>
        <v>150</v>
      </c>
      <c r="S24" s="24">
        <f>IF(ISBLANK($D$13),"",$N$24)</f>
        <v>3</v>
      </c>
      <c r="T24" s="70">
        <f>IF(ISBLANK($D$13),"",$S$24*$S$21)</f>
        <v>60</v>
      </c>
      <c r="U24" s="24">
        <f>IF(ISBLANK($D$13),"",$N$33)</f>
        <v>3</v>
      </c>
      <c r="V24" s="70">
        <f>IF(ISBLANK($D$13),"",$U$24*$U$21)</f>
        <v>105</v>
      </c>
      <c r="W24" s="24">
        <f>IF(ISBLANK($D$13),"",$N$42)</f>
        <v>3</v>
      </c>
      <c r="X24" s="70">
        <f>IF(ISBLANK($D$13),"",$W$24*$W$21)</f>
        <v>45</v>
      </c>
      <c r="Y24" s="60">
        <f>IF(ISBLANK($D$13),"",IF(ISBLANK(Q24),"",SUM(R24,T24,V24,X24)))</f>
        <v>360</v>
      </c>
      <c r="Z24" s="80"/>
      <c r="AB24" s="91" t="s">
        <v>39</v>
      </c>
    </row>
    <row r="25" spans="1:28" ht="23.25" customHeight="1" x14ac:dyDescent="0.35">
      <c r="A25" s="123"/>
      <c r="C25" s="25" t="str">
        <f>'Plausibilisierung Honorar'!$C$14</f>
        <v>Angebot</v>
      </c>
      <c r="D25" s="53">
        <v>5</v>
      </c>
      <c r="E25" s="54">
        <f>IF(ISBLANK(D25),"",D25*$D$21)</f>
        <v>500</v>
      </c>
      <c r="F25" s="53">
        <v>0</v>
      </c>
      <c r="G25" s="54">
        <f>IF(ISBLANK(F25),"",F25*$F$21)</f>
        <v>0</v>
      </c>
      <c r="H25" s="53">
        <v>0</v>
      </c>
      <c r="I25" s="55">
        <f>IF(ISBLANK(H25),"",H25*$H$21)</f>
        <v>0</v>
      </c>
      <c r="J25" s="53">
        <v>0</v>
      </c>
      <c r="K25" s="55">
        <f>IF(ISBLANK(J25),"",J25*$J$21)</f>
        <v>0</v>
      </c>
      <c r="L25" s="53">
        <v>0</v>
      </c>
      <c r="M25" s="55">
        <f>IF(ISBLANK(L25),"",L25*$L$21)</f>
        <v>0</v>
      </c>
      <c r="N25" s="68">
        <f>IF(ISBLANK(D25),"",ROUND(SUM(E25,G25,I25,K25,M25)/100,1))</f>
        <v>5</v>
      </c>
      <c r="O25" s="2"/>
      <c r="P25" s="25" t="str">
        <f>$C$14</f>
        <v>Angebot</v>
      </c>
      <c r="Q25" s="26">
        <f>IF($H$14="","",IF(EXACT($Q$14,$K$11),$K$14,IF(EXACT($Q$14,$L$11),$L$14,$M$14)))</f>
        <v>-4.3333333333333339</v>
      </c>
      <c r="R25" s="71">
        <f>IF($D$14="","",Q25*Q21)</f>
        <v>-130.00000000000003</v>
      </c>
      <c r="S25" s="26">
        <f>IF(ISBLANK($D$13),"",$N$25)</f>
        <v>5</v>
      </c>
      <c r="T25" s="71">
        <f>IF(ISBLANK($D$13),"",$S$25*$S$21)</f>
        <v>100</v>
      </c>
      <c r="U25" s="26">
        <f>IF(ISBLANK($D$13),"",$N$34)</f>
        <v>5</v>
      </c>
      <c r="V25" s="71">
        <f>IF(ISBLANK($D$13),"",$U$25*$U$21)</f>
        <v>175</v>
      </c>
      <c r="W25" s="26">
        <f>IF(ISBLANK($D$13),"",$N$43)</f>
        <v>5</v>
      </c>
      <c r="X25" s="71">
        <f>IF(ISBLANK($D$13),"",$W$25*$W$21)</f>
        <v>75</v>
      </c>
      <c r="Y25" s="59">
        <f>IF(ISBLANK($D$14),"",IF(ISBLANK(Q25),"",SUM(R25,T25,V25,X25)))</f>
        <v>219.99999999999997</v>
      </c>
      <c r="Z25" s="81">
        <f>IF(ISBLANK($D$13),"",((T25+V25+X25-Y24)/Q21+5)*$D$13/(100*IF($Q$14=$M$11,0.05,IF($Q$14=$L$11,0.1,0.2)))+$D$13)</f>
        <v>925000</v>
      </c>
      <c r="AB25" s="91"/>
    </row>
    <row r="26" spans="1:28" ht="14.25" customHeight="1" x14ac:dyDescent="0.35">
      <c r="A26" s="8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0"/>
      <c r="R26" s="2"/>
      <c r="S26" s="2"/>
      <c r="T26" s="2"/>
      <c r="U26" s="2"/>
      <c r="V26" s="2"/>
      <c r="W26" s="2"/>
      <c r="X26" s="2"/>
      <c r="Y26" s="2"/>
      <c r="AB26" s="82"/>
    </row>
    <row r="27" spans="1:28" ht="21" customHeight="1" x14ac:dyDescent="0.35">
      <c r="A27" s="84"/>
      <c r="C27" s="28" t="s">
        <v>44</v>
      </c>
      <c r="D27" s="5"/>
      <c r="E27" s="120" t="s">
        <v>53</v>
      </c>
      <c r="F27" s="120"/>
      <c r="G27" s="120"/>
      <c r="H27" s="5"/>
      <c r="I27" s="5"/>
      <c r="J27" s="5"/>
      <c r="K27" s="5"/>
      <c r="L27" s="5"/>
      <c r="M27" s="5"/>
      <c r="N27" s="2"/>
      <c r="O27" s="2"/>
      <c r="P27" s="9" t="s">
        <v>32</v>
      </c>
      <c r="Q27" s="40"/>
      <c r="R27" s="2"/>
      <c r="S27" s="2"/>
      <c r="T27" s="2"/>
      <c r="U27" s="2"/>
      <c r="V27" s="2"/>
      <c r="W27" s="2"/>
      <c r="X27" s="2"/>
      <c r="Y27" s="2"/>
      <c r="AB27" s="82"/>
    </row>
    <row r="28" spans="1:28" ht="7.5" customHeight="1" x14ac:dyDescent="0.35">
      <c r="A28" s="8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0"/>
      <c r="R28" s="2"/>
      <c r="S28" s="2"/>
      <c r="T28" s="2"/>
      <c r="U28" s="2"/>
      <c r="V28" s="2"/>
      <c r="W28" s="2"/>
      <c r="X28" s="2"/>
      <c r="Y28" s="2"/>
      <c r="AB28" s="82"/>
    </row>
    <row r="29" spans="1:28" ht="13.5" customHeight="1" x14ac:dyDescent="0.35">
      <c r="A29" s="84"/>
      <c r="C29" s="32"/>
      <c r="D29" s="121" t="s">
        <v>23</v>
      </c>
      <c r="E29" s="122"/>
      <c r="F29" s="121" t="s">
        <v>24</v>
      </c>
      <c r="G29" s="122"/>
      <c r="H29" s="121" t="s">
        <v>25</v>
      </c>
      <c r="I29" s="122"/>
      <c r="J29" s="121" t="s">
        <v>36</v>
      </c>
      <c r="K29" s="122"/>
      <c r="L29" s="121" t="s">
        <v>37</v>
      </c>
      <c r="M29" s="122"/>
      <c r="N29" s="50"/>
      <c r="O29" s="2"/>
      <c r="P29" s="52"/>
      <c r="Q29" s="124" t="s">
        <v>1</v>
      </c>
      <c r="R29" s="125"/>
      <c r="S29" s="124" t="str">
        <f>$E$18</f>
        <v>Fachkompetenz</v>
      </c>
      <c r="T29" s="125"/>
      <c r="U29" s="124" t="str">
        <f>$E$27</f>
        <v>Auftragsanalyse</v>
      </c>
      <c r="V29" s="125"/>
      <c r="W29" s="124" t="str">
        <f>$E$36</f>
        <v>Präsentation</v>
      </c>
      <c r="X29" s="125"/>
      <c r="Y29" s="50"/>
      <c r="AB29" s="91" t="s">
        <v>34</v>
      </c>
    </row>
    <row r="30" spans="1:28" ht="13.5" customHeight="1" x14ac:dyDescent="0.35">
      <c r="A30" s="84" t="s">
        <v>29</v>
      </c>
      <c r="C30" s="11" t="s">
        <v>2</v>
      </c>
      <c r="D30" s="126">
        <v>100</v>
      </c>
      <c r="E30" s="127"/>
      <c r="F30" s="126">
        <v>0</v>
      </c>
      <c r="G30" s="127"/>
      <c r="H30" s="126">
        <v>0</v>
      </c>
      <c r="I30" s="127"/>
      <c r="J30" s="126">
        <v>0</v>
      </c>
      <c r="K30" s="127"/>
      <c r="L30" s="126">
        <v>0</v>
      </c>
      <c r="M30" s="127"/>
      <c r="N30" s="50"/>
      <c r="O30" s="2"/>
      <c r="P30" s="11" t="s">
        <v>2</v>
      </c>
      <c r="Q30" s="128">
        <v>30</v>
      </c>
      <c r="R30" s="129"/>
      <c r="S30" s="128">
        <v>25</v>
      </c>
      <c r="T30" s="129"/>
      <c r="U30" s="128">
        <v>20</v>
      </c>
      <c r="V30" s="129"/>
      <c r="W30" s="128">
        <v>25</v>
      </c>
      <c r="X30" s="129"/>
      <c r="Y30" s="50"/>
      <c r="AB30" s="91"/>
    </row>
    <row r="31" spans="1:28" ht="13.5" customHeight="1" x14ac:dyDescent="0.35">
      <c r="A31" s="84"/>
      <c r="C31" s="58" t="str">
        <f>IF(D30+F30+H30+J30+L30=100,"RICHTIG",FALSE)</f>
        <v>RICHTIG</v>
      </c>
      <c r="D31" s="19"/>
      <c r="E31" s="20"/>
      <c r="F31" s="19"/>
      <c r="G31" s="20"/>
      <c r="H31" s="19"/>
      <c r="I31" s="20"/>
      <c r="J31" s="19"/>
      <c r="K31" s="20"/>
      <c r="L31" s="19"/>
      <c r="M31" s="20"/>
      <c r="N31" s="51"/>
      <c r="O31" s="2"/>
      <c r="P31" s="58" t="str">
        <f>IF(Q30+S30+U30+W30=100,"RICHTIG",FALSE)</f>
        <v>RICHTIG</v>
      </c>
      <c r="Q31" s="19"/>
      <c r="R31" s="20"/>
      <c r="S31" s="19"/>
      <c r="T31" s="20"/>
      <c r="U31" s="19"/>
      <c r="V31" s="20"/>
      <c r="W31" s="19"/>
      <c r="X31" s="20"/>
      <c r="Y31" s="51"/>
      <c r="AB31" s="82"/>
    </row>
    <row r="32" spans="1:28" ht="13.5" customHeight="1" x14ac:dyDescent="0.35">
      <c r="A32" s="84"/>
      <c r="C32" s="21"/>
      <c r="D32" s="22" t="s">
        <v>3</v>
      </c>
      <c r="E32" s="23" t="s">
        <v>4</v>
      </c>
      <c r="F32" s="22" t="s">
        <v>3</v>
      </c>
      <c r="G32" s="23" t="s">
        <v>4</v>
      </c>
      <c r="H32" s="22" t="s">
        <v>3</v>
      </c>
      <c r="I32" s="23" t="s">
        <v>4</v>
      </c>
      <c r="J32" s="22" t="s">
        <v>3</v>
      </c>
      <c r="K32" s="23" t="s">
        <v>4</v>
      </c>
      <c r="L32" s="22" t="s">
        <v>3</v>
      </c>
      <c r="M32" s="23" t="s">
        <v>4</v>
      </c>
      <c r="N32" s="69" t="s">
        <v>5</v>
      </c>
      <c r="O32" s="2"/>
      <c r="P32" s="21" t="s">
        <v>0</v>
      </c>
      <c r="Q32" s="22" t="s">
        <v>3</v>
      </c>
      <c r="R32" s="23" t="s">
        <v>4</v>
      </c>
      <c r="S32" s="22" t="s">
        <v>3</v>
      </c>
      <c r="T32" s="23" t="s">
        <v>4</v>
      </c>
      <c r="U32" s="22" t="s">
        <v>3</v>
      </c>
      <c r="V32" s="23" t="s">
        <v>4</v>
      </c>
      <c r="W32" s="22" t="s">
        <v>3</v>
      </c>
      <c r="X32" s="23" t="s">
        <v>4</v>
      </c>
      <c r="Y32" s="56" t="s">
        <v>6</v>
      </c>
      <c r="Z32" s="79" t="s">
        <v>50</v>
      </c>
      <c r="AB32" s="82"/>
    </row>
    <row r="33" spans="1:28" ht="23.25" customHeight="1" x14ac:dyDescent="0.35">
      <c r="A33" s="123" t="s">
        <v>38</v>
      </c>
      <c r="C33" s="13" t="str">
        <f>'Plausibilisierung Honorar'!$C$13</f>
        <v>günstigstes Angebot</v>
      </c>
      <c r="D33" s="15">
        <v>3</v>
      </c>
      <c r="E33" s="16">
        <f>IF(ISBLANK(D33),"",D33*$D$30)</f>
        <v>300</v>
      </c>
      <c r="F33" s="15">
        <v>0</v>
      </c>
      <c r="G33" s="16">
        <f>IF(ISBLANK(F33),"",F33*$F$30)</f>
        <v>0</v>
      </c>
      <c r="H33" s="15"/>
      <c r="I33" s="17" t="str">
        <f>IF(ISBLANK(H33),"",H33*$H$30)</f>
        <v/>
      </c>
      <c r="J33" s="15"/>
      <c r="K33" s="17" t="str">
        <f>IF(ISBLANK(J33),"",J33*$J$30)</f>
        <v/>
      </c>
      <c r="L33" s="15"/>
      <c r="M33" s="17" t="str">
        <f>IF(ISBLANK(L33),"",L33*$L$30)</f>
        <v/>
      </c>
      <c r="N33" s="67">
        <f>IF(ISBLANK(D33),"",ROUND(SUM(E33,G33,I33,K33,M33)/100,1))</f>
        <v>3</v>
      </c>
      <c r="O33" s="2"/>
      <c r="P33" s="13" t="str">
        <f>$C$13</f>
        <v>günstigstes Angebot</v>
      </c>
      <c r="Q33" s="24">
        <f>IF($H$13="","",IF(EXACT($Q$14,$K$11),$K$13,IF(EXACT($Q$14,$L$11),$L$13,$M$13)))</f>
        <v>5</v>
      </c>
      <c r="R33" s="70">
        <f>IF($D$13="","",Q33*Q$30)</f>
        <v>150</v>
      </c>
      <c r="S33" s="24">
        <f>IF(ISBLANK($D$13),"",$N$24)</f>
        <v>3</v>
      </c>
      <c r="T33" s="70">
        <f>IF(ISBLANK($D$13),"",$S$33*$S$30)</f>
        <v>75</v>
      </c>
      <c r="U33" s="24">
        <f>IF(ISBLANK($D$13),"",$N$33)</f>
        <v>3</v>
      </c>
      <c r="V33" s="70">
        <f>IF(ISBLANK($D$13),"",$U$33*$U$30)</f>
        <v>60</v>
      </c>
      <c r="W33" s="24">
        <f>IF(ISBLANK($D$13),"",$N$42)</f>
        <v>3</v>
      </c>
      <c r="X33" s="70">
        <f>IF(ISBLANK($D$13),"",$W$33*$W$30)</f>
        <v>75</v>
      </c>
      <c r="Y33" s="77">
        <f>IF(ISBLANK($D$13),"",IF(ISBLANK(Q33),"",SUM(R33,T33,V33,X33)))</f>
        <v>360</v>
      </c>
      <c r="Z33" s="80"/>
      <c r="AB33" s="89" t="s">
        <v>30</v>
      </c>
    </row>
    <row r="34" spans="1:28" ht="23.25" customHeight="1" x14ac:dyDescent="0.35">
      <c r="A34" s="123"/>
      <c r="C34" s="25" t="str">
        <f>'Plausibilisierung Honorar'!$C$14</f>
        <v>Angebot</v>
      </c>
      <c r="D34" s="53">
        <v>5</v>
      </c>
      <c r="E34" s="54">
        <f>IF(ISBLANK(D34),"",D34*$D$30)</f>
        <v>500</v>
      </c>
      <c r="F34" s="53">
        <v>0</v>
      </c>
      <c r="G34" s="54">
        <f>IF(ISBLANK(F34),"",F34*$F$30)</f>
        <v>0</v>
      </c>
      <c r="H34" s="53"/>
      <c r="I34" s="55" t="str">
        <f>IF(ISBLANK(H34),"",H34*$H$30)</f>
        <v/>
      </c>
      <c r="J34" s="53"/>
      <c r="K34" s="55" t="str">
        <f>IF(ISBLANK(J34),"",J34*$J$30)</f>
        <v/>
      </c>
      <c r="L34" s="53"/>
      <c r="M34" s="55" t="str">
        <f>IF(ISBLANK(L34),"",L34*$L$30)</f>
        <v/>
      </c>
      <c r="N34" s="68">
        <f>IF(ISBLANK(D34),"",ROUND(SUM(E34,G34,I34,K34,M34)/100,1))</f>
        <v>5</v>
      </c>
      <c r="O34" s="2"/>
      <c r="P34" s="25" t="str">
        <f>$C$14</f>
        <v>Angebot</v>
      </c>
      <c r="Q34" s="26">
        <f>IF($H$14="","",IF(EXACT($Q$14,$K$11),$K$14,IF(EXACT($Q$14,$L$11),$L$14,$M$14)))</f>
        <v>-4.3333333333333339</v>
      </c>
      <c r="R34" s="71">
        <f>IF($D$14="","",Q34*Q$30)</f>
        <v>-130.00000000000003</v>
      </c>
      <c r="S34" s="26">
        <f>IF(ISBLANK($D$13),"",$N$25)</f>
        <v>5</v>
      </c>
      <c r="T34" s="71">
        <f>IF(ISBLANK($D$13),"",$S$34*$S$30)</f>
        <v>125</v>
      </c>
      <c r="U34" s="26">
        <f>IF(ISBLANK($D$13),"",$N$34)</f>
        <v>5</v>
      </c>
      <c r="V34" s="71">
        <f>IF(ISBLANK($D$13),"",$U$34*$U$30)</f>
        <v>100</v>
      </c>
      <c r="W34" s="26">
        <f>IF(ISBLANK($D$13),"",$N$43)</f>
        <v>5</v>
      </c>
      <c r="X34" s="71">
        <f>IF(ISBLANK($D$13),"",$W$34*$W$30)</f>
        <v>125</v>
      </c>
      <c r="Y34" s="78">
        <f>IF(ISBLANK($D$14),"",IF(ISBLANK(Q34),"",SUM(R34,T34,V34,X34)))</f>
        <v>219.99999999999997</v>
      </c>
      <c r="Z34" s="81">
        <f>IF(ISBLANK($D$13),"",((T34+V34+X34-Y33)/Q30+5)*$D$13/(100*IF($Q$14=$M$11,0.05,IF($Q$14=$L$11,0.1,0.2)))+$D$13)</f>
        <v>925000</v>
      </c>
      <c r="AB34" s="82"/>
    </row>
    <row r="35" spans="1:28" ht="14.25" customHeight="1" x14ac:dyDescent="0.35">
      <c r="A35" s="8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0"/>
      <c r="R35" s="2"/>
      <c r="S35" s="2"/>
      <c r="T35" s="2"/>
      <c r="U35" s="2"/>
      <c r="V35" s="2"/>
      <c r="W35" s="2"/>
      <c r="X35" s="2"/>
      <c r="Y35" s="2"/>
      <c r="AB35" s="82"/>
    </row>
    <row r="36" spans="1:28" ht="21" customHeight="1" x14ac:dyDescent="0.35">
      <c r="A36" s="84"/>
      <c r="C36" s="28" t="s">
        <v>45</v>
      </c>
      <c r="D36" s="5"/>
      <c r="E36" s="120" t="s">
        <v>54</v>
      </c>
      <c r="F36" s="120"/>
      <c r="G36" s="120"/>
      <c r="H36" s="5"/>
      <c r="I36" s="5"/>
      <c r="J36" s="5"/>
      <c r="K36" s="5"/>
      <c r="L36" s="5"/>
      <c r="M36" s="5"/>
      <c r="N36" s="2"/>
      <c r="O36" s="2"/>
      <c r="P36" s="9" t="s">
        <v>33</v>
      </c>
      <c r="Q36" s="40"/>
      <c r="R36" s="2"/>
      <c r="S36" s="2"/>
      <c r="T36" s="2"/>
      <c r="U36" s="2"/>
      <c r="V36" s="2"/>
      <c r="W36" s="2"/>
      <c r="X36" s="2"/>
      <c r="Y36" s="2"/>
      <c r="AB36" s="82"/>
    </row>
    <row r="37" spans="1:28" ht="7.5" customHeight="1" x14ac:dyDescent="0.35">
      <c r="A37" s="8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0"/>
      <c r="R37" s="2"/>
      <c r="S37" s="2"/>
      <c r="T37" s="2"/>
      <c r="U37" s="2"/>
      <c r="V37" s="2"/>
      <c r="W37" s="2"/>
      <c r="X37" s="2"/>
      <c r="Y37" s="2"/>
      <c r="AB37" s="82"/>
    </row>
    <row r="38" spans="1:28" ht="13.5" customHeight="1" x14ac:dyDescent="0.35">
      <c r="A38" s="84"/>
      <c r="C38" s="32"/>
      <c r="D38" s="121" t="s">
        <v>23</v>
      </c>
      <c r="E38" s="122"/>
      <c r="F38" s="121" t="s">
        <v>24</v>
      </c>
      <c r="G38" s="122"/>
      <c r="H38" s="121" t="s">
        <v>25</v>
      </c>
      <c r="I38" s="122"/>
      <c r="J38" s="121" t="s">
        <v>36</v>
      </c>
      <c r="K38" s="122"/>
      <c r="L38" s="121" t="s">
        <v>37</v>
      </c>
      <c r="M38" s="122"/>
      <c r="N38" s="50"/>
      <c r="O38" s="2"/>
      <c r="P38" s="52"/>
      <c r="Q38" s="124" t="s">
        <v>1</v>
      </c>
      <c r="R38" s="125"/>
      <c r="S38" s="124" t="str">
        <f>$E$18</f>
        <v>Fachkompetenz</v>
      </c>
      <c r="T38" s="125"/>
      <c r="U38" s="124" t="str">
        <f>$E$27</f>
        <v>Auftragsanalyse</v>
      </c>
      <c r="V38" s="125"/>
      <c r="W38" s="124" t="str">
        <f>$E$36</f>
        <v>Präsentation</v>
      </c>
      <c r="X38" s="125"/>
      <c r="Y38" s="50"/>
      <c r="AB38" s="82"/>
    </row>
    <row r="39" spans="1:28" ht="13.5" customHeight="1" x14ac:dyDescent="0.35">
      <c r="A39" s="84" t="s">
        <v>29</v>
      </c>
      <c r="C39" s="11" t="s">
        <v>2</v>
      </c>
      <c r="D39" s="126">
        <v>100</v>
      </c>
      <c r="E39" s="127"/>
      <c r="F39" s="126">
        <v>0</v>
      </c>
      <c r="G39" s="127"/>
      <c r="H39" s="126">
        <v>0</v>
      </c>
      <c r="I39" s="127"/>
      <c r="J39" s="126">
        <v>0</v>
      </c>
      <c r="K39" s="127"/>
      <c r="L39" s="126">
        <v>0</v>
      </c>
      <c r="M39" s="127"/>
      <c r="N39" s="50"/>
      <c r="O39" s="2"/>
      <c r="P39" s="11" t="s">
        <v>2</v>
      </c>
      <c r="Q39" s="128">
        <v>30</v>
      </c>
      <c r="R39" s="129"/>
      <c r="S39" s="128">
        <v>30</v>
      </c>
      <c r="T39" s="129"/>
      <c r="U39" s="128">
        <v>20</v>
      </c>
      <c r="V39" s="129"/>
      <c r="W39" s="128">
        <v>20</v>
      </c>
      <c r="X39" s="129"/>
      <c r="Y39" s="50"/>
      <c r="AB39" s="91" t="s">
        <v>35</v>
      </c>
    </row>
    <row r="40" spans="1:28" ht="13.5" customHeight="1" x14ac:dyDescent="0.35">
      <c r="A40" s="84"/>
      <c r="C40" s="58" t="str">
        <f>IF(D39+F39+H39+J39+L39=100,"RICHTIG",FALSE)</f>
        <v>RICHTIG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51"/>
      <c r="O40" s="2"/>
      <c r="P40" s="58" t="str">
        <f>IF(Q39+S39+U39+W39=100,"RICHTIG",FALSE)</f>
        <v>RICHTIG</v>
      </c>
      <c r="Q40" s="19"/>
      <c r="R40" s="20"/>
      <c r="S40" s="19"/>
      <c r="T40" s="20"/>
      <c r="U40" s="19"/>
      <c r="V40" s="20"/>
      <c r="W40" s="19"/>
      <c r="X40" s="20"/>
      <c r="Y40" s="51"/>
      <c r="AB40" s="91"/>
    </row>
    <row r="41" spans="1:28" ht="13.5" customHeight="1" x14ac:dyDescent="0.35">
      <c r="A41" s="84"/>
      <c r="C41" s="21"/>
      <c r="D41" s="22" t="s">
        <v>3</v>
      </c>
      <c r="E41" s="23" t="s">
        <v>4</v>
      </c>
      <c r="F41" s="22" t="s">
        <v>3</v>
      </c>
      <c r="G41" s="23" t="s">
        <v>4</v>
      </c>
      <c r="H41" s="22" t="s">
        <v>3</v>
      </c>
      <c r="I41" s="23" t="s">
        <v>4</v>
      </c>
      <c r="J41" s="22" t="s">
        <v>3</v>
      </c>
      <c r="K41" s="23" t="s">
        <v>4</v>
      </c>
      <c r="L41" s="22" t="s">
        <v>3</v>
      </c>
      <c r="M41" s="23" t="s">
        <v>4</v>
      </c>
      <c r="N41" s="69" t="s">
        <v>5</v>
      </c>
      <c r="O41" s="2"/>
      <c r="P41" s="21" t="s">
        <v>0</v>
      </c>
      <c r="Q41" s="22" t="s">
        <v>3</v>
      </c>
      <c r="R41" s="23" t="s">
        <v>4</v>
      </c>
      <c r="S41" s="22" t="s">
        <v>3</v>
      </c>
      <c r="T41" s="23" t="s">
        <v>4</v>
      </c>
      <c r="U41" s="22" t="s">
        <v>3</v>
      </c>
      <c r="V41" s="23" t="s">
        <v>4</v>
      </c>
      <c r="W41" s="22" t="s">
        <v>3</v>
      </c>
      <c r="X41" s="23" t="s">
        <v>4</v>
      </c>
      <c r="Y41" s="56" t="s">
        <v>6</v>
      </c>
      <c r="Z41" s="69" t="s">
        <v>50</v>
      </c>
      <c r="AB41" s="82"/>
    </row>
    <row r="42" spans="1:28" ht="23.25" customHeight="1" x14ac:dyDescent="0.35">
      <c r="A42" s="123" t="s">
        <v>38</v>
      </c>
      <c r="C42" s="13" t="str">
        <f>'Plausibilisierung Honorar'!$C$13</f>
        <v>günstigstes Angebot</v>
      </c>
      <c r="D42" s="15">
        <v>3</v>
      </c>
      <c r="E42" s="16">
        <f>IF(ISBLANK(D42),"",D42*$D$39)</f>
        <v>300</v>
      </c>
      <c r="F42" s="15">
        <v>0</v>
      </c>
      <c r="G42" s="16">
        <f>IF(ISBLANK(F42),"",F42*$F$39)</f>
        <v>0</v>
      </c>
      <c r="H42" s="15"/>
      <c r="I42" s="16" t="str">
        <f>IF(ISBLANK(H42),"",H42*$H$39)</f>
        <v/>
      </c>
      <c r="J42" s="15"/>
      <c r="K42" s="16" t="str">
        <f>IF(ISBLANK(J42),"",J42*$J$39)</f>
        <v/>
      </c>
      <c r="L42" s="15"/>
      <c r="M42" s="16" t="str">
        <f>IF(ISBLANK(L42),"",L42*$L$39)</f>
        <v/>
      </c>
      <c r="N42" s="67">
        <f>IF(ISBLANK(D42),"",ROUND(SUM(E42,G42,I42,K42,M42)/100,1))</f>
        <v>3</v>
      </c>
      <c r="O42" s="2"/>
      <c r="P42" s="13" t="str">
        <f>$C$13</f>
        <v>günstigstes Angebot</v>
      </c>
      <c r="Q42" s="24">
        <f>IF($H$13="","",IF(EXACT($Q$14,$K$11),$K$13,IF(EXACT($Q$14,$L$11),$L$13,$M$13)))</f>
        <v>5</v>
      </c>
      <c r="R42" s="70">
        <f>IF($D$13="","",Q42*Q$39)</f>
        <v>150</v>
      </c>
      <c r="S42" s="24">
        <f>IF(ISBLANK($D$13),"",$N$24)</f>
        <v>3</v>
      </c>
      <c r="T42" s="70">
        <f>IF(ISBLANK($D$13),"",$S$42*$S$39)</f>
        <v>90</v>
      </c>
      <c r="U42" s="24">
        <f>IF(ISBLANK($D$13),"",$N$33)</f>
        <v>3</v>
      </c>
      <c r="V42" s="70">
        <f>IF(ISBLANK($D$13),"",$U$42*$U$39)</f>
        <v>60</v>
      </c>
      <c r="W42" s="24">
        <f>IF(ISBLANK($D$13),"",$N$42)</f>
        <v>3</v>
      </c>
      <c r="X42" s="70">
        <f>IF(ISBLANK($D$13),"",$W$42*$W$39)</f>
        <v>60</v>
      </c>
      <c r="Y42" s="57">
        <f>IF(ISBLANK($D$13),"",IF(ISBLANK(Q42),"",SUM(R42,T42,V42,X42)))</f>
        <v>360</v>
      </c>
      <c r="Z42" s="80"/>
      <c r="AB42" s="89" t="s">
        <v>30</v>
      </c>
    </row>
    <row r="43" spans="1:28" ht="23.25" customHeight="1" x14ac:dyDescent="0.35">
      <c r="A43" s="123"/>
      <c r="C43" s="25" t="str">
        <f>'Plausibilisierung Honorar'!$C$14</f>
        <v>Angebot</v>
      </c>
      <c r="D43" s="53">
        <v>5</v>
      </c>
      <c r="E43" s="54">
        <f>IF(ISBLANK(D43),"",D43*$D$39)</f>
        <v>500</v>
      </c>
      <c r="F43" s="53">
        <v>0</v>
      </c>
      <c r="G43" s="54">
        <f>IF(ISBLANK(F43),"",F43*$F$39)</f>
        <v>0</v>
      </c>
      <c r="H43" s="53"/>
      <c r="I43" s="54" t="str">
        <f>IF(ISBLANK(H43),"",H43*$H$39)</f>
        <v/>
      </c>
      <c r="J43" s="53"/>
      <c r="K43" s="54" t="str">
        <f>IF(ISBLANK(J43),"",J43*$J$39)</f>
        <v/>
      </c>
      <c r="L43" s="53"/>
      <c r="M43" s="54" t="str">
        <f>IF(ISBLANK(L43),"",L43*$L$39)</f>
        <v/>
      </c>
      <c r="N43" s="68">
        <f>IF(ISBLANK(D43),"",ROUND(SUM(E43,G43,I43,K43,M43)/100,1))</f>
        <v>5</v>
      </c>
      <c r="O43" s="2"/>
      <c r="P43" s="25" t="str">
        <f>$C$14</f>
        <v>Angebot</v>
      </c>
      <c r="Q43" s="26">
        <f>IF($H$14="","",IF(EXACT($Q$14,$K$11),$K$14,IF(EXACT($Q$14,$L$11),$L$14,$M$14)))</f>
        <v>-4.3333333333333339</v>
      </c>
      <c r="R43" s="71">
        <f>IF($D$14="","",Q43*Q$39)</f>
        <v>-130.00000000000003</v>
      </c>
      <c r="S43" s="26">
        <f>IF(ISBLANK($D$13),"",$N$25)</f>
        <v>5</v>
      </c>
      <c r="T43" s="71">
        <f>IF(ISBLANK($D$13),"",$S$43*$S$39)</f>
        <v>150</v>
      </c>
      <c r="U43" s="26">
        <f>IF(ISBLANK($D$13),"",$N$34)</f>
        <v>5</v>
      </c>
      <c r="V43" s="71">
        <f>IF(ISBLANK($D$13),"",$U$43*$U$39)</f>
        <v>100</v>
      </c>
      <c r="W43" s="26">
        <f>IF(ISBLANK($D$13),"",$N$43)</f>
        <v>5</v>
      </c>
      <c r="X43" s="71">
        <f>IF(ISBLANK($D$13),"",$W$43*$W$39)</f>
        <v>100</v>
      </c>
      <c r="Y43" s="59">
        <f>IF(ISBLANK($D$14),"",IF(ISBLANK(Q43),"",SUM(R43,T43,V43,X43)))</f>
        <v>219.99999999999997</v>
      </c>
      <c r="Z43" s="81">
        <f>IF(ISBLANK($D$13),"",((T43+V43+X43-Y42)/Q39+5)*$D$13/(100*IF($Q$14=$M$11,0.05,IF($Q$14=$L$11,0.1,0.2)))+$D$13)</f>
        <v>925000</v>
      </c>
      <c r="AB43" s="82"/>
    </row>
    <row r="44" spans="1:28" ht="13.5" customHeight="1" x14ac:dyDescent="0.35">
      <c r="C44" s="2"/>
      <c r="D44" s="40"/>
      <c r="E44" s="2"/>
      <c r="F44" s="2"/>
      <c r="G44" s="2"/>
      <c r="H44" s="2"/>
      <c r="I44" s="2"/>
      <c r="J44" s="2"/>
      <c r="K44" s="2"/>
      <c r="L44" s="2"/>
      <c r="M44" s="2"/>
      <c r="N44" s="2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B44" s="82"/>
    </row>
    <row r="45" spans="1:28" ht="34.5" customHeight="1" x14ac:dyDescent="0.3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B45" s="82"/>
    </row>
    <row r="46" spans="1:28" ht="13.5" x14ac:dyDescent="0.35">
      <c r="C46" s="9" t="s">
        <v>15</v>
      </c>
      <c r="D46" s="4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AB46" s="82"/>
    </row>
    <row r="47" spans="1:28" ht="13.5" x14ac:dyDescent="0.35">
      <c r="C47" s="47">
        <v>1.25</v>
      </c>
      <c r="D47" s="48" t="s">
        <v>18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B47" s="82"/>
    </row>
    <row r="48" spans="1:28" ht="13.5" x14ac:dyDescent="0.35">
      <c r="C48" s="47">
        <v>1.5</v>
      </c>
      <c r="D48" s="48" t="s">
        <v>19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3:25" ht="13.5" x14ac:dyDescent="0.35">
      <c r="C49" s="47">
        <v>2</v>
      </c>
      <c r="D49" s="48" t="s">
        <v>17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3:25" ht="13.5" x14ac:dyDescent="0.35">
      <c r="C50" s="2"/>
      <c r="D50" s="40"/>
      <c r="E50" s="2"/>
      <c r="F50" s="4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3:25" ht="13.5" x14ac:dyDescent="0.35">
      <c r="C51" s="2"/>
      <c r="D51" s="40"/>
      <c r="E51" s="2"/>
      <c r="F51" s="4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3:25" ht="13.5" x14ac:dyDescent="0.35">
      <c r="D52" s="7"/>
    </row>
    <row r="53" spans="3:25" ht="13.5" x14ac:dyDescent="0.35">
      <c r="D53" s="7"/>
    </row>
    <row r="54" spans="3:25" ht="13.5" x14ac:dyDescent="0.35">
      <c r="D54" s="7"/>
    </row>
    <row r="55" spans="3:25" ht="13.5" x14ac:dyDescent="0.35">
      <c r="D55" s="7"/>
    </row>
    <row r="56" spans="3:25" ht="13.5" x14ac:dyDescent="0.35"/>
    <row r="57" spans="3:25" ht="13.5" x14ac:dyDescent="0.35"/>
    <row r="58" spans="3:25" ht="13.5" x14ac:dyDescent="0.35"/>
    <row r="59" spans="3:25" ht="13.5" x14ac:dyDescent="0.35"/>
    <row r="60" spans="3:25" ht="13.5" x14ac:dyDescent="0.35"/>
    <row r="61" spans="3:25" ht="13.5" x14ac:dyDescent="0.35"/>
    <row r="62" spans="3:25" ht="13.5" x14ac:dyDescent="0.35"/>
    <row r="63" spans="3:25" ht="13.5" x14ac:dyDescent="0.35"/>
    <row r="64" spans="3:25" ht="13.5" x14ac:dyDescent="0.35"/>
    <row r="65" ht="13.5" x14ac:dyDescent="0.35"/>
    <row r="66" ht="13.5" x14ac:dyDescent="0.35"/>
    <row r="67" ht="13.5" x14ac:dyDescent="0.35"/>
    <row r="68" ht="13.5" x14ac:dyDescent="0.35"/>
    <row r="69" ht="13.5" x14ac:dyDescent="0.35"/>
    <row r="70" ht="13.5" x14ac:dyDescent="0.35"/>
    <row r="71" ht="13.5" x14ac:dyDescent="0.35"/>
    <row r="72" ht="13.5" x14ac:dyDescent="0.35"/>
    <row r="73" ht="13.5" x14ac:dyDescent="0.35"/>
    <row r="74" ht="13.5" x14ac:dyDescent="0.35"/>
    <row r="75" ht="13.5" x14ac:dyDescent="0.35"/>
    <row r="76" ht="13.5" x14ac:dyDescent="0.35"/>
    <row r="77" ht="13.5" x14ac:dyDescent="0.35"/>
    <row r="78" ht="13.5" x14ac:dyDescent="0.35"/>
    <row r="79" ht="13.5" x14ac:dyDescent="0.35"/>
    <row r="80" ht="13.5" x14ac:dyDescent="0.35"/>
    <row r="81" ht="13.5" x14ac:dyDescent="0.35"/>
    <row r="82" ht="13.5" x14ac:dyDescent="0.35"/>
    <row r="83" ht="13.5" x14ac:dyDescent="0.35"/>
    <row r="84" ht="13.5" x14ac:dyDescent="0.35"/>
    <row r="85" ht="13.5" x14ac:dyDescent="0.35"/>
    <row r="86" ht="13.5" x14ac:dyDescent="0.35"/>
    <row r="87" ht="13.5" x14ac:dyDescent="0.35"/>
    <row r="88" ht="13.5" x14ac:dyDescent="0.35"/>
    <row r="89" ht="13.5" x14ac:dyDescent="0.35"/>
    <row r="90" ht="13.5" x14ac:dyDescent="0.35"/>
    <row r="91" ht="13.5" x14ac:dyDescent="0.35"/>
    <row r="92" ht="13.5" x14ac:dyDescent="0.35"/>
    <row r="93" ht="13.5" x14ac:dyDescent="0.35"/>
    <row r="94" ht="13.5" x14ac:dyDescent="0.35"/>
    <row r="95" ht="13.5" x14ac:dyDescent="0.35"/>
    <row r="96" ht="13.5" x14ac:dyDescent="0.35"/>
    <row r="97" ht="13.5" x14ac:dyDescent="0.35"/>
    <row r="98" ht="13.5" x14ac:dyDescent="0.35"/>
    <row r="99" ht="13.5" x14ac:dyDescent="0.35"/>
    <row r="100" ht="13.5" x14ac:dyDescent="0.35"/>
    <row r="101" ht="13.5" x14ac:dyDescent="0.35"/>
    <row r="102" ht="13.5" x14ac:dyDescent="0.35"/>
    <row r="103" ht="13.5" x14ac:dyDescent="0.35"/>
    <row r="104" ht="13.5" x14ac:dyDescent="0.35"/>
    <row r="105" ht="13.5" x14ac:dyDescent="0.35"/>
    <row r="106" ht="13.5" x14ac:dyDescent="0.35"/>
    <row r="107" ht="13.5" x14ac:dyDescent="0.35"/>
    <row r="108" ht="13.5" x14ac:dyDescent="0.35"/>
    <row r="109" ht="13.5" x14ac:dyDescent="0.35"/>
    <row r="110" ht="13.5" x14ac:dyDescent="0.35"/>
    <row r="111" ht="13.5" x14ac:dyDescent="0.35"/>
    <row r="112" ht="13.5" x14ac:dyDescent="0.35"/>
    <row r="113" ht="13.5" x14ac:dyDescent="0.35"/>
    <row r="114" ht="13.5" x14ac:dyDescent="0.35"/>
    <row r="115" ht="13.5" x14ac:dyDescent="0.35"/>
    <row r="116" ht="13.5" x14ac:dyDescent="0.35"/>
    <row r="117" ht="13.5" x14ac:dyDescent="0.35"/>
    <row r="118" ht="13.5" x14ac:dyDescent="0.35"/>
    <row r="119" ht="13.5" x14ac:dyDescent="0.35"/>
    <row r="120" ht="13.5" x14ac:dyDescent="0.35"/>
    <row r="121" ht="13.5" x14ac:dyDescent="0.35"/>
    <row r="122" ht="13.5" x14ac:dyDescent="0.35"/>
    <row r="123" ht="13.5" x14ac:dyDescent="0.35"/>
    <row r="124" ht="13.5" x14ac:dyDescent="0.35"/>
    <row r="125" ht="13.5" x14ac:dyDescent="0.35"/>
    <row r="126" ht="13.5" x14ac:dyDescent="0.35"/>
    <row r="127" ht="13.5" x14ac:dyDescent="0.35"/>
    <row r="128" ht="13.5" x14ac:dyDescent="0.35"/>
    <row r="129" ht="13.5" x14ac:dyDescent="0.35"/>
    <row r="130" ht="13.5" x14ac:dyDescent="0.35"/>
    <row r="131" ht="13.5" x14ac:dyDescent="0.35"/>
    <row r="132" ht="13.5" x14ac:dyDescent="0.35"/>
    <row r="133" ht="13.5" x14ac:dyDescent="0.35"/>
    <row r="134" ht="13.5" x14ac:dyDescent="0.35"/>
    <row r="135" ht="13.5" x14ac:dyDescent="0.35"/>
    <row r="136" ht="13.5" x14ac:dyDescent="0.35"/>
    <row r="137" ht="13.5" x14ac:dyDescent="0.35"/>
    <row r="138" ht="13.5" x14ac:dyDescent="0.35"/>
    <row r="139" ht="13.5" x14ac:dyDescent="0.35"/>
    <row r="140" ht="13.5" x14ac:dyDescent="0.35"/>
    <row r="141" ht="13.5" x14ac:dyDescent="0.35"/>
    <row r="142" ht="13.5" x14ac:dyDescent="0.35"/>
    <row r="143" ht="13.5" x14ac:dyDescent="0.35"/>
    <row r="144" ht="13.5" x14ac:dyDescent="0.35"/>
    <row r="145" ht="13.5" x14ac:dyDescent="0.35"/>
    <row r="146" ht="13.5" x14ac:dyDescent="0.35"/>
    <row r="147" ht="13.5" x14ac:dyDescent="0.35"/>
    <row r="148" ht="13.5" x14ac:dyDescent="0.35"/>
    <row r="149" ht="13.5" x14ac:dyDescent="0.35"/>
    <row r="150" ht="13.5" x14ac:dyDescent="0.35"/>
    <row r="151" ht="13.5" x14ac:dyDescent="0.35"/>
    <row r="152" ht="13.5" x14ac:dyDescent="0.35"/>
    <row r="153" ht="13.5" x14ac:dyDescent="0.35"/>
    <row r="154" ht="13.5" x14ac:dyDescent="0.35"/>
    <row r="155" ht="13.5" x14ac:dyDescent="0.35"/>
    <row r="156" ht="13.5" x14ac:dyDescent="0.35"/>
    <row r="157" ht="13.5" x14ac:dyDescent="0.35"/>
    <row r="158" ht="13.5" x14ac:dyDescent="0.35"/>
    <row r="159" ht="13.5" x14ac:dyDescent="0.35"/>
    <row r="160" ht="13.5" x14ac:dyDescent="0.35"/>
    <row r="161" ht="13.5" x14ac:dyDescent="0.35"/>
    <row r="162" ht="13.5" x14ac:dyDescent="0.35"/>
    <row r="163" ht="13.5" x14ac:dyDescent="0.35"/>
    <row r="164" ht="13.5" x14ac:dyDescent="0.35"/>
    <row r="165" ht="13.5" x14ac:dyDescent="0.35"/>
    <row r="166" ht="13.5" x14ac:dyDescent="0.35"/>
    <row r="167" ht="13.5" x14ac:dyDescent="0.35"/>
    <row r="168" ht="13.5" x14ac:dyDescent="0.35"/>
    <row r="169" ht="13.5" x14ac:dyDescent="0.35"/>
    <row r="170" ht="13.5" x14ac:dyDescent="0.35"/>
    <row r="171" ht="13.5" x14ac:dyDescent="0.35"/>
    <row r="172" ht="13.5" x14ac:dyDescent="0.35"/>
    <row r="173" ht="13.5" x14ac:dyDescent="0.35"/>
    <row r="174" ht="13.5" x14ac:dyDescent="0.35"/>
    <row r="175" ht="13.5" x14ac:dyDescent="0.35"/>
    <row r="176" ht="13.5" x14ac:dyDescent="0.35"/>
    <row r="177" ht="13.5" x14ac:dyDescent="0.35"/>
    <row r="178" ht="13.5" x14ac:dyDescent="0.35"/>
    <row r="179" ht="13.5" x14ac:dyDescent="0.35"/>
    <row r="180" ht="13.5" hidden="1" x14ac:dyDescent="0.35"/>
    <row r="181" ht="13.5" hidden="1" x14ac:dyDescent="0.35"/>
    <row r="182" ht="13.5" hidden="1" x14ac:dyDescent="0.35"/>
    <row r="183" ht="13.5" hidden="1" x14ac:dyDescent="0.35"/>
    <row r="184" ht="13.5" hidden="1" x14ac:dyDescent="0.35"/>
    <row r="185" ht="13.5" hidden="1" x14ac:dyDescent="0.35"/>
    <row r="186" ht="13.5" hidden="1" x14ac:dyDescent="0.35"/>
    <row r="187" ht="13.5" hidden="1" x14ac:dyDescent="0.35"/>
    <row r="188" ht="13.5" x14ac:dyDescent="0.35"/>
    <row r="189" ht="13.5" x14ac:dyDescent="0.35"/>
    <row r="190" ht="13.5" x14ac:dyDescent="0.35"/>
    <row r="191" ht="13.5" x14ac:dyDescent="0.35"/>
    <row r="192" ht="13.5" x14ac:dyDescent="0.35"/>
    <row r="193" ht="13.5" x14ac:dyDescent="0.35"/>
    <row r="194" ht="13.5" x14ac:dyDescent="0.35"/>
    <row r="195" ht="13.5" x14ac:dyDescent="0.35"/>
    <row r="196" ht="13.5" x14ac:dyDescent="0.35"/>
    <row r="197" ht="13.5" x14ac:dyDescent="0.35"/>
    <row r="198" ht="13.5" x14ac:dyDescent="0.35"/>
    <row r="199" ht="13.5" x14ac:dyDescent="0.35"/>
    <row r="200" ht="13.5" x14ac:dyDescent="0.35"/>
    <row r="201" ht="13.5" x14ac:dyDescent="0.35"/>
    <row r="202" ht="13.5" x14ac:dyDescent="0.35"/>
    <row r="203" ht="13.5" x14ac:dyDescent="0.35"/>
    <row r="204" ht="13.5" x14ac:dyDescent="0.35"/>
    <row r="205" ht="13.5" x14ac:dyDescent="0.35"/>
    <row r="206" ht="13.5" x14ac:dyDescent="0.35"/>
    <row r="207" ht="13.5" x14ac:dyDescent="0.35"/>
    <row r="208" ht="13.5" x14ac:dyDescent="0.35"/>
    <row r="209" ht="13.5" x14ac:dyDescent="0.35"/>
    <row r="210" ht="13.5" x14ac:dyDescent="0.35"/>
    <row r="211" ht="13.5" x14ac:dyDescent="0.35"/>
    <row r="212" ht="13.5" x14ac:dyDescent="0.35"/>
    <row r="213" ht="13.5" x14ac:dyDescent="0.35"/>
    <row r="214" ht="13.5" x14ac:dyDescent="0.35"/>
    <row r="215" ht="13.5" x14ac:dyDescent="0.35"/>
    <row r="216" ht="13.5" x14ac:dyDescent="0.35"/>
    <row r="217" ht="13.5" x14ac:dyDescent="0.35"/>
    <row r="218" ht="13.5" x14ac:dyDescent="0.35"/>
    <row r="219" ht="13.5" x14ac:dyDescent="0.35"/>
    <row r="220" ht="13.5" x14ac:dyDescent="0.35"/>
    <row r="221" ht="13.5" x14ac:dyDescent="0.35"/>
    <row r="222" ht="13.5" x14ac:dyDescent="0.35"/>
    <row r="223" ht="13.5" x14ac:dyDescent="0.35"/>
    <row r="224" ht="13.5" x14ac:dyDescent="0.35"/>
    <row r="225" ht="13.5" x14ac:dyDescent="0.35"/>
    <row r="226" ht="13.5" x14ac:dyDescent="0.35"/>
    <row r="227" ht="13.5" x14ac:dyDescent="0.35"/>
    <row r="228" ht="13.5" x14ac:dyDescent="0.35"/>
    <row r="229" ht="13.5" x14ac:dyDescent="0.35"/>
    <row r="230" ht="13.5" x14ac:dyDescent="0.35"/>
    <row r="231" ht="13.5" x14ac:dyDescent="0.35"/>
    <row r="232" ht="13.5" x14ac:dyDescent="0.35"/>
    <row r="233" ht="13.5" x14ac:dyDescent="0.35"/>
    <row r="234" ht="13.5" x14ac:dyDescent="0.35"/>
    <row r="235" ht="13.5" x14ac:dyDescent="0.35"/>
    <row r="236" ht="13.5" x14ac:dyDescent="0.35"/>
    <row r="237" ht="13.5" x14ac:dyDescent="0.35"/>
    <row r="238" ht="13.5" x14ac:dyDescent="0.35"/>
    <row r="239" ht="13.5" x14ac:dyDescent="0.35"/>
    <row r="240" ht="13.5" x14ac:dyDescent="0.35"/>
    <row r="241" ht="13.5" x14ac:dyDescent="0.35"/>
    <row r="242" ht="13.5" x14ac:dyDescent="0.35"/>
    <row r="243" ht="13.5" x14ac:dyDescent="0.35"/>
    <row r="244" ht="13.5" x14ac:dyDescent="0.35"/>
    <row r="245" ht="13.5" x14ac:dyDescent="0.35"/>
    <row r="246" ht="13.5" x14ac:dyDescent="0.35"/>
    <row r="247" ht="13.5" x14ac:dyDescent="0.35"/>
    <row r="248" ht="13.5" x14ac:dyDescent="0.35"/>
    <row r="249" ht="13.5" x14ac:dyDescent="0.35"/>
    <row r="250" ht="13.5" x14ac:dyDescent="0.35"/>
    <row r="251" ht="13.5" x14ac:dyDescent="0.35"/>
    <row r="252" ht="13.5" x14ac:dyDescent="0.35"/>
    <row r="253" ht="13.5" x14ac:dyDescent="0.35"/>
    <row r="254" ht="13.5" x14ac:dyDescent="0.35"/>
    <row r="255" ht="13.5" x14ac:dyDescent="0.35"/>
    <row r="256" ht="13.5" x14ac:dyDescent="0.35"/>
    <row r="257" ht="13.5" x14ac:dyDescent="0.35"/>
    <row r="258" ht="13.5" x14ac:dyDescent="0.35"/>
    <row r="259" ht="13.5" x14ac:dyDescent="0.35"/>
    <row r="260" ht="13.5" x14ac:dyDescent="0.35"/>
    <row r="261" ht="13.5" x14ac:dyDescent="0.35"/>
    <row r="262" ht="13.5" x14ac:dyDescent="0.35"/>
    <row r="263" ht="13.5" x14ac:dyDescent="0.35"/>
    <row r="264" ht="13.5" x14ac:dyDescent="0.35"/>
    <row r="265" ht="13.5" x14ac:dyDescent="0.35"/>
    <row r="266" ht="13.5" x14ac:dyDescent="0.35"/>
    <row r="267" ht="13.5" x14ac:dyDescent="0.35"/>
    <row r="268" ht="13.5" x14ac:dyDescent="0.35"/>
    <row r="269" ht="13.5" x14ac:dyDescent="0.35"/>
    <row r="270" ht="13.5" x14ac:dyDescent="0.35"/>
    <row r="271" ht="13.5" x14ac:dyDescent="0.35"/>
    <row r="272" ht="13.5" x14ac:dyDescent="0.35"/>
    <row r="273" ht="13.5" x14ac:dyDescent="0.35"/>
    <row r="274" ht="13.5" x14ac:dyDescent="0.35"/>
  </sheetData>
  <dataConsolidate/>
  <mergeCells count="88">
    <mergeCell ref="U39:V39"/>
    <mergeCell ref="W39:X39"/>
    <mergeCell ref="AB39:AB40"/>
    <mergeCell ref="A42:A43"/>
    <mergeCell ref="S38:T38"/>
    <mergeCell ref="U38:V38"/>
    <mergeCell ref="W38:X38"/>
    <mergeCell ref="D39:E39"/>
    <mergeCell ref="F39:G39"/>
    <mergeCell ref="H39:I39"/>
    <mergeCell ref="J39:K39"/>
    <mergeCell ref="L39:M39"/>
    <mergeCell ref="Q39:R39"/>
    <mergeCell ref="S39:T39"/>
    <mergeCell ref="D38:E38"/>
    <mergeCell ref="F38:G38"/>
    <mergeCell ref="H38:I38"/>
    <mergeCell ref="J38:K38"/>
    <mergeCell ref="L38:M38"/>
    <mergeCell ref="Q38:R38"/>
    <mergeCell ref="Q30:R30"/>
    <mergeCell ref="E36:G36"/>
    <mergeCell ref="D30:E30"/>
    <mergeCell ref="F30:G30"/>
    <mergeCell ref="H30:I30"/>
    <mergeCell ref="J30:K30"/>
    <mergeCell ref="AB29:AB30"/>
    <mergeCell ref="S30:T30"/>
    <mergeCell ref="U30:V30"/>
    <mergeCell ref="W30:X30"/>
    <mergeCell ref="A33:A34"/>
    <mergeCell ref="L30:M30"/>
    <mergeCell ref="L29:M29"/>
    <mergeCell ref="E27:G27"/>
    <mergeCell ref="D29:E29"/>
    <mergeCell ref="F29:G29"/>
    <mergeCell ref="H29:I29"/>
    <mergeCell ref="J29:K29"/>
    <mergeCell ref="U21:V21"/>
    <mergeCell ref="W21:X21"/>
    <mergeCell ref="Q29:R29"/>
    <mergeCell ref="S29:T29"/>
    <mergeCell ref="U29:V29"/>
    <mergeCell ref="W29:X29"/>
    <mergeCell ref="J20:K20"/>
    <mergeCell ref="A24:A25"/>
    <mergeCell ref="AB24:AB25"/>
    <mergeCell ref="Q20:R20"/>
    <mergeCell ref="S20:T20"/>
    <mergeCell ref="U20:V20"/>
    <mergeCell ref="W20:X20"/>
    <mergeCell ref="AB20:AB21"/>
    <mergeCell ref="D21:E21"/>
    <mergeCell ref="F21:G21"/>
    <mergeCell ref="H21:I21"/>
    <mergeCell ref="J21:K21"/>
    <mergeCell ref="L21:M21"/>
    <mergeCell ref="L20:M20"/>
    <mergeCell ref="Q21:R21"/>
    <mergeCell ref="S21:T21"/>
    <mergeCell ref="D16:E16"/>
    <mergeCell ref="F16:G16"/>
    <mergeCell ref="H16:I16"/>
    <mergeCell ref="E18:G18"/>
    <mergeCell ref="D20:E20"/>
    <mergeCell ref="F20:G20"/>
    <mergeCell ref="H20:I20"/>
    <mergeCell ref="I1:J1"/>
    <mergeCell ref="C6:Z6"/>
    <mergeCell ref="F12:G12"/>
    <mergeCell ref="H12:I12"/>
    <mergeCell ref="D13:E13"/>
    <mergeCell ref="F13:G13"/>
    <mergeCell ref="H13:I13"/>
    <mergeCell ref="A10:A15"/>
    <mergeCell ref="D10:E10"/>
    <mergeCell ref="F10:G10"/>
    <mergeCell ref="H10:I10"/>
    <mergeCell ref="D11:E11"/>
    <mergeCell ref="F11:G11"/>
    <mergeCell ref="H11:I11"/>
    <mergeCell ref="D12:E12"/>
    <mergeCell ref="D14:E14"/>
    <mergeCell ref="F14:G14"/>
    <mergeCell ref="H14:I14"/>
    <mergeCell ref="D15:E15"/>
    <mergeCell ref="F15:G15"/>
    <mergeCell ref="H15:I15"/>
  </mergeCells>
  <conditionalFormatting sqref="C22">
    <cfRule type="cellIs" dxfId="81" priority="12" stopIfTrue="1" operator="equal">
      <formula>"RICHTIG"</formula>
    </cfRule>
  </conditionalFormatting>
  <conditionalFormatting sqref="C31">
    <cfRule type="cellIs" dxfId="80" priority="13" stopIfTrue="1" operator="equal">
      <formula>"RICHTIG"</formula>
    </cfRule>
  </conditionalFormatting>
  <conditionalFormatting sqref="C40">
    <cfRule type="cellIs" dxfId="79" priority="14" stopIfTrue="1" operator="equal">
      <formula>"RICHTIG"</formula>
    </cfRule>
  </conditionalFormatting>
  <conditionalFormatting sqref="D24:D25 F24:F25 H24:H25 J24:J25 L24:L25 D33:D34 F33:F34 H33:H34 J33:J34 L33:L34 D42:D43 F42:F43 H42:H43 J42:J43 L42:L43">
    <cfRule type="expression" dxfId="78" priority="3">
      <formula>"&gt;5"</formula>
    </cfRule>
    <cfRule type="cellIs" dxfId="77" priority="1" operator="greaterThan">
      <formula>5</formula>
    </cfRule>
  </conditionalFormatting>
  <conditionalFormatting sqref="E24:E25">
    <cfRule type="cellIs" dxfId="76" priority="38" stopIfTrue="1" operator="greaterThan">
      <formula>$D$10*5</formula>
    </cfRule>
    <cfRule type="expression" dxfId="75" priority="37" stopIfTrue="1">
      <formula>ISBLANK(D24)</formula>
    </cfRule>
  </conditionalFormatting>
  <conditionalFormatting sqref="E33">
    <cfRule type="expression" dxfId="74" priority="35" stopIfTrue="1">
      <formula>ISBLANK(D33)</formula>
    </cfRule>
    <cfRule type="cellIs" dxfId="73" priority="36" stopIfTrue="1" operator="greaterThan">
      <formula>$D$10*5</formula>
    </cfRule>
  </conditionalFormatting>
  <conditionalFormatting sqref="E42">
    <cfRule type="cellIs" dxfId="72" priority="34" stopIfTrue="1" operator="greaterThan">
      <formula>$D$10*5</formula>
    </cfRule>
    <cfRule type="expression" dxfId="71" priority="33" stopIfTrue="1">
      <formula>ISBLANK(D42)</formula>
    </cfRule>
  </conditionalFormatting>
  <conditionalFormatting sqref="G24:G25">
    <cfRule type="expression" dxfId="70" priority="21" stopIfTrue="1">
      <formula>ISBLANK(F24)</formula>
    </cfRule>
    <cfRule type="cellIs" dxfId="69" priority="22" stopIfTrue="1" operator="greaterThan">
      <formula>$D$10*5</formula>
    </cfRule>
  </conditionalFormatting>
  <conditionalFormatting sqref="G33">
    <cfRule type="cellIs" dxfId="68" priority="24" stopIfTrue="1" operator="greaterThan">
      <formula>$D$10*5</formula>
    </cfRule>
    <cfRule type="expression" dxfId="67" priority="23" stopIfTrue="1">
      <formula>ISBLANK(F33)</formula>
    </cfRule>
  </conditionalFormatting>
  <conditionalFormatting sqref="G42">
    <cfRule type="cellIs" dxfId="66" priority="30" stopIfTrue="1" operator="greaterThan">
      <formula>$D$10*5</formula>
    </cfRule>
    <cfRule type="expression" dxfId="65" priority="29" stopIfTrue="1">
      <formula>ISBLANK(F42)</formula>
    </cfRule>
  </conditionalFormatting>
  <conditionalFormatting sqref="I24:I25">
    <cfRule type="cellIs" dxfId="64" priority="46" stopIfTrue="1" operator="greaterThan">
      <formula>$H$10*5</formula>
    </cfRule>
    <cfRule type="expression" dxfId="63" priority="45" stopIfTrue="1">
      <formula>ISBLANK(H24)</formula>
    </cfRule>
  </conditionalFormatting>
  <conditionalFormatting sqref="I33:I34 K33:K34 M33:M34">
    <cfRule type="expression" dxfId="62" priority="39" stopIfTrue="1">
      <formula>ISBLANK(H33)</formula>
    </cfRule>
    <cfRule type="cellIs" dxfId="61" priority="40" stopIfTrue="1" operator="greaterThan">
      <formula>#REF!*5</formula>
    </cfRule>
  </conditionalFormatting>
  <conditionalFormatting sqref="I42">
    <cfRule type="expression" dxfId="60" priority="31" stopIfTrue="1">
      <formula>ISBLANK(H42)</formula>
    </cfRule>
    <cfRule type="cellIs" dxfId="59" priority="32" stopIfTrue="1" operator="greaterThan">
      <formula>$D$10*5</formula>
    </cfRule>
  </conditionalFormatting>
  <conditionalFormatting sqref="K24:K25">
    <cfRule type="cellIs" dxfId="58" priority="42" stopIfTrue="1" operator="greaterThan">
      <formula>$K$10*5</formula>
    </cfRule>
    <cfRule type="expression" dxfId="57" priority="41" stopIfTrue="1">
      <formula>ISBLANK(J24)</formula>
    </cfRule>
  </conditionalFormatting>
  <conditionalFormatting sqref="K42">
    <cfRule type="expression" dxfId="56" priority="27" stopIfTrue="1">
      <formula>ISBLANK(J42)</formula>
    </cfRule>
    <cfRule type="cellIs" dxfId="55" priority="28" stopIfTrue="1" operator="greaterThan">
      <formula>$D$10*5</formula>
    </cfRule>
  </conditionalFormatting>
  <conditionalFormatting sqref="M24:M25">
    <cfRule type="expression" dxfId="54" priority="43" stopIfTrue="1">
      <formula>ISBLANK(L24)</formula>
    </cfRule>
    <cfRule type="cellIs" dxfId="53" priority="44" stopIfTrue="1" operator="greaterThan">
      <formula>$M$10*5</formula>
    </cfRule>
  </conditionalFormatting>
  <conditionalFormatting sqref="M42">
    <cfRule type="cellIs" dxfId="52" priority="26" stopIfTrue="1" operator="greaterThan">
      <formula>$D$10*5</formula>
    </cfRule>
    <cfRule type="expression" dxfId="51" priority="25" stopIfTrue="1">
      <formula>ISBLANK(L42)</formula>
    </cfRule>
  </conditionalFormatting>
  <conditionalFormatting sqref="P21">
    <cfRule type="expression" priority="19">
      <formula>SUM($Q$21:$X$21)=100</formula>
    </cfRule>
    <cfRule type="expression" dxfId="50" priority="20">
      <formula>"summe($R$19:$Y$19)=100"</formula>
    </cfRule>
  </conditionalFormatting>
  <conditionalFormatting sqref="P22">
    <cfRule type="cellIs" dxfId="49" priority="18" stopIfTrue="1" operator="equal">
      <formula>"RICHTIG"</formula>
    </cfRule>
  </conditionalFormatting>
  <conditionalFormatting sqref="P31">
    <cfRule type="cellIs" dxfId="48" priority="16" stopIfTrue="1" operator="equal">
      <formula>"RICHTIG"</formula>
    </cfRule>
  </conditionalFormatting>
  <conditionalFormatting sqref="P40">
    <cfRule type="cellIs" dxfId="47" priority="15" stopIfTrue="1" operator="equal">
      <formula>"RICHTIG"</formula>
    </cfRule>
  </conditionalFormatting>
  <conditionalFormatting sqref="P24:Y24">
    <cfRule type="expression" dxfId="46" priority="5">
      <formula>$Y$24&gt;$Y$25</formula>
    </cfRule>
  </conditionalFormatting>
  <conditionalFormatting sqref="P25:Y25">
    <cfRule type="expression" dxfId="45" priority="4">
      <formula>$Y$25&gt;$Y$24</formula>
    </cfRule>
  </conditionalFormatting>
  <conditionalFormatting sqref="P33:Y33">
    <cfRule type="expression" dxfId="44" priority="8">
      <formula>$Y$33&gt;$Y$34</formula>
    </cfRule>
  </conditionalFormatting>
  <conditionalFormatting sqref="P34:Y34">
    <cfRule type="expression" dxfId="43" priority="7">
      <formula>$Y$34&gt;$Y$33</formula>
    </cfRule>
  </conditionalFormatting>
  <conditionalFormatting sqref="P42:Y42">
    <cfRule type="expression" dxfId="42" priority="11">
      <formula>$Y$42&gt;$Y$43</formula>
    </cfRule>
  </conditionalFormatting>
  <conditionalFormatting sqref="P43:Y43">
    <cfRule type="expression" dxfId="41" priority="10">
      <formula>$Y$43&gt;$Y$42</formula>
    </cfRule>
  </conditionalFormatting>
  <conditionalFormatting sqref="Y24:Y25">
    <cfRule type="colorScale" priority="6">
      <colorScale>
        <cfvo type="min"/>
        <cfvo type="max"/>
        <color theme="9" tint="0.59999389629810485"/>
        <color theme="9"/>
      </colorScale>
    </cfRule>
  </conditionalFormatting>
  <conditionalFormatting sqref="Y33:Y34">
    <cfRule type="colorScale" priority="9">
      <colorScale>
        <cfvo type="min"/>
        <cfvo type="max"/>
        <color theme="9" tint="0.59999389629810485"/>
        <color theme="9"/>
      </colorScale>
    </cfRule>
  </conditionalFormatting>
  <conditionalFormatting sqref="Y42:Y43">
    <cfRule type="colorScale" priority="17">
      <colorScale>
        <cfvo type="min"/>
        <cfvo type="max"/>
        <color theme="9" tint="0.59999389629810485"/>
        <color theme="9"/>
      </colorScale>
    </cfRule>
  </conditionalFormatting>
  <dataValidations count="1">
    <dataValidation type="list" allowBlank="1" showInputMessage="1" showErrorMessage="1" promptTitle="Preiskurve auswählen" sqref="Q14" xr:uid="{A46C4BAB-FBC2-48F2-8188-D122C11ADFC1}">
      <formula1>$C$47:$C$49</formula1>
    </dataValidation>
  </dataValidations>
  <printOptions horizontalCentered="1" verticalCentered="1"/>
  <pageMargins left="0.25" right="0.25" top="0.75" bottom="0.75" header="0.3" footer="0.3"/>
  <pageSetup paperSize="8" scale="75" orientation="landscape" r:id="rId1"/>
  <headerFooter alignWithMargins="0">
    <oddFooter>&amp;L&amp;6&amp;D&amp;C&amp;"Arial,Fett"&amp;8&amp;A&amp;R&amp;"Arial,Fett"&amp;8&amp;F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AB274"/>
  <sheetViews>
    <sheetView zoomScaleNormal="100" zoomScaleSheetLayoutView="85" workbookViewId="0">
      <selection activeCell="AB24" sqref="AB24:AB25"/>
    </sheetView>
  </sheetViews>
  <sheetFormatPr baseColWidth="10" defaultColWidth="11.3984375" defaultRowHeight="0" customHeight="1" zeroHeight="1" x14ac:dyDescent="0.35"/>
  <cols>
    <col min="1" max="1" width="23.1328125" style="72" customWidth="1"/>
    <col min="2" max="2" width="1.73046875" customWidth="1"/>
    <col min="3" max="13" width="10.73046875" customWidth="1"/>
    <col min="14" max="14" width="13.1328125" customWidth="1"/>
    <col min="16" max="16" width="12.3984375" customWidth="1"/>
    <col min="26" max="26" width="15.86328125" customWidth="1"/>
    <col min="27" max="27" width="2.265625" customWidth="1"/>
    <col min="28" max="28" width="36.3984375" style="74" customWidth="1"/>
  </cols>
  <sheetData>
    <row r="1" spans="1:28" ht="55.5" customHeight="1" x14ac:dyDescent="0.35">
      <c r="C1" s="2" t="s">
        <v>41</v>
      </c>
      <c r="D1" s="2"/>
      <c r="E1" s="2"/>
      <c r="F1" s="2"/>
      <c r="G1" s="2"/>
      <c r="H1" s="2"/>
      <c r="I1" s="109"/>
      <c r="J1" s="109"/>
      <c r="K1" s="33"/>
      <c r="L1" s="2"/>
      <c r="M1" s="2"/>
      <c r="N1" s="2"/>
      <c r="O1" s="2"/>
      <c r="P1" s="2"/>
      <c r="Q1" s="34"/>
      <c r="R1" s="35"/>
      <c r="S1" s="35"/>
      <c r="T1" s="35"/>
      <c r="U1" s="35"/>
      <c r="V1" s="35"/>
      <c r="W1" s="35"/>
      <c r="X1" s="35"/>
      <c r="Y1" s="35"/>
      <c r="AA1" s="3"/>
    </row>
    <row r="2" spans="1:28" ht="6.75" customHeight="1" x14ac:dyDescent="0.35">
      <c r="C2" s="2"/>
      <c r="D2" s="36"/>
      <c r="E2" s="36"/>
      <c r="F2" s="36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8" ht="6.75" customHeight="1" x14ac:dyDescent="0.35">
      <c r="C3" s="2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8" s="2" customFormat="1" ht="22.5" x14ac:dyDescent="0.35">
      <c r="A4" s="73"/>
      <c r="C4" s="29" t="s">
        <v>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Y4" s="5"/>
      <c r="AA4" s="6"/>
      <c r="AB4" s="76"/>
    </row>
    <row r="5" spans="1:28" ht="12" customHeight="1" x14ac:dyDescent="0.3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8" s="1" customFormat="1" ht="21" customHeight="1" x14ac:dyDescent="0.5">
      <c r="A6" s="82" t="s">
        <v>27</v>
      </c>
      <c r="C6" s="110" t="s">
        <v>55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4"/>
      <c r="AB6" s="86"/>
    </row>
    <row r="7" spans="1:28" s="2" customFormat="1" ht="36" customHeight="1" x14ac:dyDescent="0.35">
      <c r="A7" s="83"/>
      <c r="N7" s="27"/>
      <c r="AB7" s="87"/>
    </row>
    <row r="8" spans="1:28" ht="18" customHeight="1" x14ac:dyDescent="0.35">
      <c r="A8" s="84"/>
      <c r="C8" s="28" t="s">
        <v>42</v>
      </c>
      <c r="D8" s="36"/>
      <c r="E8" s="31" t="s">
        <v>1</v>
      </c>
      <c r="F8" s="36"/>
      <c r="G8" s="36"/>
      <c r="H8" s="37"/>
      <c r="I8" s="2"/>
      <c r="J8" s="2"/>
      <c r="K8" s="2"/>
      <c r="L8" s="2"/>
      <c r="M8" s="2"/>
      <c r="N8" s="27"/>
      <c r="O8" s="2"/>
      <c r="P8" s="28" t="s">
        <v>46</v>
      </c>
      <c r="Q8" s="2"/>
      <c r="R8" s="2"/>
      <c r="S8" s="2"/>
      <c r="T8" s="2"/>
      <c r="U8" s="2"/>
      <c r="V8" s="2"/>
      <c r="W8" s="2"/>
      <c r="X8" s="2"/>
      <c r="Y8" s="2"/>
      <c r="AB8" s="82"/>
    </row>
    <row r="9" spans="1:28" s="2" customFormat="1" ht="7.5" customHeight="1" x14ac:dyDescent="0.35">
      <c r="A9" s="83"/>
      <c r="N9" s="27"/>
      <c r="AB9" s="87"/>
    </row>
    <row r="10" spans="1:28" ht="12.75" customHeight="1" x14ac:dyDescent="0.35">
      <c r="A10" s="91" t="s">
        <v>51</v>
      </c>
      <c r="C10" s="38" t="s">
        <v>0</v>
      </c>
      <c r="D10" s="92" t="s">
        <v>7</v>
      </c>
      <c r="E10" s="93"/>
      <c r="F10" s="94" t="s">
        <v>12</v>
      </c>
      <c r="G10" s="95"/>
      <c r="H10" s="92" t="s">
        <v>22</v>
      </c>
      <c r="I10" s="93"/>
      <c r="J10" s="39"/>
      <c r="K10" s="90" t="s">
        <v>9</v>
      </c>
      <c r="L10" s="90" t="s">
        <v>9</v>
      </c>
      <c r="M10" s="90" t="s">
        <v>9</v>
      </c>
      <c r="N10" s="2"/>
      <c r="O10" s="2"/>
      <c r="P10" s="27" t="s">
        <v>47</v>
      </c>
      <c r="Q10" s="40"/>
      <c r="R10" s="2"/>
      <c r="S10" s="2"/>
      <c r="T10" s="2"/>
      <c r="U10" s="2"/>
      <c r="V10" s="2"/>
      <c r="W10" s="2"/>
      <c r="X10" s="2"/>
      <c r="Y10" s="2"/>
      <c r="AB10" s="82"/>
    </row>
    <row r="11" spans="1:28" s="18" customFormat="1" ht="12.75" customHeight="1" x14ac:dyDescent="0.35">
      <c r="A11" s="91"/>
      <c r="C11" s="41"/>
      <c r="D11" s="96" t="s">
        <v>10</v>
      </c>
      <c r="E11" s="97"/>
      <c r="F11" s="98">
        <v>8.1000000000000003E-2</v>
      </c>
      <c r="G11" s="99"/>
      <c r="H11" s="96" t="s">
        <v>14</v>
      </c>
      <c r="I11" s="100"/>
      <c r="J11" s="42" t="s">
        <v>8</v>
      </c>
      <c r="K11" s="43">
        <v>1.25</v>
      </c>
      <c r="L11" s="43">
        <v>1.5</v>
      </c>
      <c r="M11" s="43">
        <v>2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AB11" s="82"/>
    </row>
    <row r="12" spans="1:28" ht="13.5" x14ac:dyDescent="0.35">
      <c r="A12" s="91"/>
      <c r="C12" s="44"/>
      <c r="D12" s="101" t="s">
        <v>11</v>
      </c>
      <c r="E12" s="102"/>
      <c r="F12" s="111" t="s">
        <v>13</v>
      </c>
      <c r="G12" s="112"/>
      <c r="H12" s="101" t="s">
        <v>11</v>
      </c>
      <c r="I12" s="102"/>
      <c r="J12" s="45"/>
      <c r="K12" s="46" t="s">
        <v>21</v>
      </c>
      <c r="L12" s="46" t="s">
        <v>21</v>
      </c>
      <c r="M12" s="46" t="s">
        <v>21</v>
      </c>
      <c r="N12" s="30"/>
      <c r="O12" s="2"/>
      <c r="Q12" s="40"/>
      <c r="R12" s="2"/>
      <c r="S12" s="2"/>
      <c r="T12" s="2"/>
      <c r="U12" s="2"/>
      <c r="V12" s="2"/>
      <c r="W12" s="2"/>
      <c r="X12" s="2"/>
      <c r="Y12" s="2"/>
      <c r="AB12" s="82"/>
    </row>
    <row r="13" spans="1:28" s="8" customFormat="1" ht="23.25" customHeight="1" x14ac:dyDescent="0.35">
      <c r="A13" s="91"/>
      <c r="C13" s="12" t="s">
        <v>20</v>
      </c>
      <c r="D13" s="113">
        <v>120</v>
      </c>
      <c r="E13" s="114"/>
      <c r="F13" s="107">
        <f>IF(ISBLANK(D13),"",ROUND(D13*MwSt*20,0)/20)</f>
        <v>9.6999999999999993</v>
      </c>
      <c r="G13" s="108"/>
      <c r="H13" s="107">
        <f>IF(ISBLANK(D13),"",ROUND((D13+F13)*20,0)/20)</f>
        <v>129.69999999999999</v>
      </c>
      <c r="I13" s="108"/>
      <c r="J13" s="61">
        <f>IF(ISBLANK(D13),"",H13/(MIN(H$13:H$14)/100))</f>
        <v>100</v>
      </c>
      <c r="K13" s="62">
        <f>IF(ISBLANK(D13),"",5-0.2*($H$13-MIN($H$13:$H$14))/(MIN($H$13:$H$14)/100))</f>
        <v>5</v>
      </c>
      <c r="L13" s="62">
        <f>IF(ISBLANK(D13),"",5-0.1*($H$13-MIN($H$13:$H$14))/(MIN($H$13:$H$14)/100))</f>
        <v>5</v>
      </c>
      <c r="M13" s="62">
        <f>IF(ISBLANK(D13),"",5-0.05*($H$13-MIN($H$13:$H$14))/(MIN($H$13:$H$14)/100))</f>
        <v>5</v>
      </c>
      <c r="N13" s="30"/>
      <c r="O13" s="33"/>
      <c r="P13" s="2"/>
      <c r="Q13" s="40"/>
      <c r="R13" s="2"/>
      <c r="S13" s="2"/>
      <c r="T13" s="2"/>
      <c r="U13" s="2"/>
      <c r="V13" s="2"/>
      <c r="W13" s="2"/>
      <c r="X13" s="75"/>
      <c r="Y13" s="2"/>
      <c r="AB13" s="82"/>
    </row>
    <row r="14" spans="1:28" s="8" customFormat="1" ht="23.25" customHeight="1" x14ac:dyDescent="0.35">
      <c r="A14" s="91"/>
      <c r="C14" s="14" t="s">
        <v>0</v>
      </c>
      <c r="D14" s="103">
        <v>160</v>
      </c>
      <c r="E14" s="104"/>
      <c r="F14" s="105">
        <f>IF(ISBLANK(D14),"",ROUND(D14*MwSt*20,0)/20)</f>
        <v>12.95</v>
      </c>
      <c r="G14" s="106"/>
      <c r="H14" s="105">
        <f>IF(ISBLANK(D14),"",ROUND((D14+F14)*20,0)/20)</f>
        <v>172.95</v>
      </c>
      <c r="I14" s="106"/>
      <c r="J14" s="63">
        <f>IF(ISBLANK(D14),"",H14/(MIN(H$13:H$14)/100))</f>
        <v>133.34618350038551</v>
      </c>
      <c r="K14" s="64">
        <f>IF(ISBLANK(D14),"",5-0.2*($H$14-MIN($H$13:$H$14))/(MIN($H$13:$H$14)/100))</f>
        <v>-1.6692367000771018</v>
      </c>
      <c r="L14" s="64">
        <f>IF(ISBLANK(D14),"",5-0.1*($H$14-MIN($H$13:$H$14))/(MIN($H$13:$H$14)/100))</f>
        <v>1.6653816499614491</v>
      </c>
      <c r="M14" s="64">
        <f>IF(ISBLANK(D14),"",5-0.05*($H$14-MIN($H$13:$H$14))/(MIN($H$13:$H$14)/100))</f>
        <v>3.3326908249807246</v>
      </c>
      <c r="N14" s="30"/>
      <c r="O14" s="33"/>
      <c r="P14" s="9" t="s">
        <v>16</v>
      </c>
      <c r="Q14" s="49">
        <v>1.5</v>
      </c>
      <c r="R14" s="10" t="str">
        <f>"("&amp;IF(EXACT(Q14,$C$47),0.2,IF(EXACT(Q14,$C$48),0.1,0.05))&amp;" Punkte Abzug pro 1% Mehrkosten gegenüber dem preisgünstigesten Angebot)"</f>
        <v>(0.1 Punkte Abzug pro 1% Mehrkosten gegenüber dem preisgünstigesten Angebot)</v>
      </c>
      <c r="S14" s="2"/>
      <c r="T14" s="2"/>
      <c r="U14" s="33"/>
      <c r="V14" s="33"/>
      <c r="W14" s="2"/>
      <c r="X14" s="2"/>
      <c r="Y14" s="2"/>
      <c r="AB14" s="82" t="s">
        <v>28</v>
      </c>
    </row>
    <row r="15" spans="1:28" s="8" customFormat="1" ht="23.25" customHeight="1" x14ac:dyDescent="0.35">
      <c r="A15" s="91"/>
      <c r="C15" s="12" t="s">
        <v>49</v>
      </c>
      <c r="D15" s="107">
        <f>IF(OR(ISBLANK($D$13),ISBLANK($D$14)),"",D14-D13)</f>
        <v>40</v>
      </c>
      <c r="E15" s="108"/>
      <c r="F15" s="107">
        <f>IF(OR(ISBLANK($D$13),ISBLANK($D$14)),"",F14-F13)</f>
        <v>3.25</v>
      </c>
      <c r="G15" s="108"/>
      <c r="H15" s="107">
        <f>IF(OR(ISBLANK($D$13),ISBLANK($D$14)),"",H14-H13)</f>
        <v>43.25</v>
      </c>
      <c r="I15" s="108"/>
      <c r="J15" s="61">
        <f>IF(OR(ISBLANK($D$13),ISBLANK($D$14)),"",J14-J13)</f>
        <v>33.346183500385507</v>
      </c>
      <c r="K15" s="62">
        <f>IF(OR(ISBLANK($D$13),ISBLANK($D$14)),"",K14-K13)</f>
        <v>-6.6692367000771018</v>
      </c>
      <c r="L15" s="62">
        <f>IF(OR(ISBLANK($D$13),ISBLANK($D$14)),"",L14-L13)</f>
        <v>-3.3346183500385509</v>
      </c>
      <c r="M15" s="62">
        <f>IF(OR(ISBLANK($D$13),ISBLANK($D$14)),"",M14-M13)</f>
        <v>-1.6673091750192754</v>
      </c>
      <c r="N15" s="30"/>
      <c r="O15" s="33"/>
      <c r="P15" s="9"/>
      <c r="Q15" s="9"/>
      <c r="R15" s="10"/>
      <c r="S15" s="2"/>
      <c r="T15" s="2"/>
      <c r="U15" s="33"/>
      <c r="V15" s="33"/>
      <c r="W15" s="2"/>
      <c r="X15" s="2"/>
      <c r="Y15" s="2"/>
      <c r="AB15" s="82"/>
    </row>
    <row r="16" spans="1:28" s="8" customFormat="1" ht="23.25" customHeight="1" x14ac:dyDescent="0.35">
      <c r="A16" s="85"/>
      <c r="C16" s="14" t="s">
        <v>48</v>
      </c>
      <c r="D16" s="115">
        <f>IF(OR(ISBLANK($D$13),ISBLANK($D$14)),"",D15/D13)</f>
        <v>0.33333333333333331</v>
      </c>
      <c r="E16" s="116"/>
      <c r="F16" s="119">
        <f>IF(OR(ISBLANK($D$13),ISBLANK($D$14)),"",F15/F13)</f>
        <v>0.33505154639175261</v>
      </c>
      <c r="G16" s="118"/>
      <c r="H16" s="119">
        <f>IF(OR(ISBLANK($D$13),ISBLANK($D$14)),"",H15/H13)</f>
        <v>0.33346183500385507</v>
      </c>
      <c r="I16" s="118"/>
      <c r="J16" s="65">
        <f>IF(OR(ISBLANK($D$13),ISBLANK($D$14)),"",J15/J13)</f>
        <v>0.33346183500385507</v>
      </c>
      <c r="K16" s="66">
        <f>IF(OR(ISBLANK($D$13),ISBLANK($D$14)),"",K15/K13)</f>
        <v>-1.3338473400154203</v>
      </c>
      <c r="L16" s="66">
        <f>IF(OR(ISBLANK($D$13),ISBLANK($D$14)),"",L15/L13)</f>
        <v>-0.66692367000771013</v>
      </c>
      <c r="M16" s="66">
        <f>IF(OR(ISBLANK($D$13),ISBLANK($D$14)),"",M15/M13)</f>
        <v>-0.33346183500385507</v>
      </c>
      <c r="N16" s="30"/>
      <c r="O16" s="33"/>
      <c r="P16" s="9"/>
      <c r="Q16" s="9"/>
      <c r="R16" s="10"/>
      <c r="S16" s="2"/>
      <c r="T16" s="2"/>
      <c r="U16" s="33"/>
      <c r="V16" s="33"/>
      <c r="W16" s="2"/>
      <c r="X16" s="2"/>
      <c r="Y16" s="2"/>
      <c r="AB16" s="82"/>
    </row>
    <row r="17" spans="1:28" ht="14.25" customHeight="1" x14ac:dyDescent="0.35">
      <c r="A17" s="84"/>
      <c r="C17" s="2"/>
      <c r="D17" s="40"/>
      <c r="E17" s="2"/>
      <c r="F17" s="2"/>
      <c r="G17" s="2"/>
      <c r="H17" s="2"/>
      <c r="I17" s="2"/>
      <c r="J17" s="2"/>
      <c r="K17" s="2"/>
      <c r="L17" s="2"/>
      <c r="M17" s="2"/>
      <c r="N17" s="2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AB17" s="82"/>
    </row>
    <row r="18" spans="1:28" ht="21" customHeight="1" x14ac:dyDescent="0.35">
      <c r="A18" s="84"/>
      <c r="C18" s="28" t="s">
        <v>43</v>
      </c>
      <c r="D18" s="5"/>
      <c r="E18" s="120" t="s">
        <v>52</v>
      </c>
      <c r="F18" s="120"/>
      <c r="G18" s="120"/>
      <c r="H18" s="5"/>
      <c r="I18" s="5"/>
      <c r="J18" s="5"/>
      <c r="K18" s="5"/>
      <c r="L18" s="5"/>
      <c r="M18" s="5"/>
      <c r="N18" s="2"/>
      <c r="O18" s="2"/>
      <c r="P18" s="9" t="s">
        <v>31</v>
      </c>
      <c r="Q18" s="40"/>
      <c r="R18" s="2"/>
      <c r="S18" s="2"/>
      <c r="T18" s="2"/>
      <c r="U18" s="2"/>
      <c r="V18" s="2"/>
      <c r="W18" s="2"/>
      <c r="X18" s="2"/>
      <c r="Y18" s="2"/>
      <c r="AB18" s="82"/>
    </row>
    <row r="19" spans="1:28" ht="7.5" customHeight="1" x14ac:dyDescent="0.35">
      <c r="A19" s="8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0"/>
      <c r="R19" s="2"/>
      <c r="S19" s="2"/>
      <c r="T19" s="2"/>
      <c r="U19" s="2"/>
      <c r="V19" s="2"/>
      <c r="W19" s="2"/>
      <c r="X19" s="2"/>
      <c r="Y19" s="2"/>
      <c r="AB19" s="82"/>
    </row>
    <row r="20" spans="1:28" ht="13.5" customHeight="1" x14ac:dyDescent="0.35">
      <c r="A20" s="84"/>
      <c r="C20" s="32"/>
      <c r="D20" s="121" t="s">
        <v>23</v>
      </c>
      <c r="E20" s="122"/>
      <c r="F20" s="121" t="s">
        <v>24</v>
      </c>
      <c r="G20" s="122"/>
      <c r="H20" s="121" t="s">
        <v>25</v>
      </c>
      <c r="I20" s="122"/>
      <c r="J20" s="121" t="s">
        <v>36</v>
      </c>
      <c r="K20" s="122"/>
      <c r="L20" s="121" t="s">
        <v>37</v>
      </c>
      <c r="M20" s="122"/>
      <c r="N20" s="50"/>
      <c r="O20" s="2"/>
      <c r="P20" s="52"/>
      <c r="Q20" s="124" t="s">
        <v>1</v>
      </c>
      <c r="R20" s="125"/>
      <c r="S20" s="124" t="str">
        <f>$E$18</f>
        <v>Fachkompetenz</v>
      </c>
      <c r="T20" s="125"/>
      <c r="U20" s="124" t="str">
        <f>$E$27</f>
        <v>Auftragsanalyse</v>
      </c>
      <c r="V20" s="125"/>
      <c r="W20" s="124" t="str">
        <f>$E$36</f>
        <v>Präsentation</v>
      </c>
      <c r="X20" s="125"/>
      <c r="Y20" s="50"/>
      <c r="AB20" s="91" t="s">
        <v>40</v>
      </c>
    </row>
    <row r="21" spans="1:28" ht="13.5" customHeight="1" x14ac:dyDescent="0.35">
      <c r="A21" s="84" t="s">
        <v>29</v>
      </c>
      <c r="C21" s="11" t="s">
        <v>2</v>
      </c>
      <c r="D21" s="126">
        <v>100</v>
      </c>
      <c r="E21" s="127"/>
      <c r="F21" s="126">
        <v>0</v>
      </c>
      <c r="G21" s="127"/>
      <c r="H21" s="126">
        <v>0</v>
      </c>
      <c r="I21" s="127"/>
      <c r="J21" s="126">
        <v>0</v>
      </c>
      <c r="K21" s="127"/>
      <c r="L21" s="126">
        <v>0</v>
      </c>
      <c r="M21" s="127"/>
      <c r="N21" s="50"/>
      <c r="O21" s="2"/>
      <c r="P21" s="11" t="s">
        <v>2</v>
      </c>
      <c r="Q21" s="128">
        <v>30</v>
      </c>
      <c r="R21" s="129"/>
      <c r="S21" s="128">
        <v>20</v>
      </c>
      <c r="T21" s="129"/>
      <c r="U21" s="128">
        <v>20</v>
      </c>
      <c r="V21" s="129"/>
      <c r="W21" s="128">
        <v>30</v>
      </c>
      <c r="X21" s="129"/>
      <c r="Y21" s="50"/>
      <c r="AB21" s="91"/>
    </row>
    <row r="22" spans="1:28" ht="13.5" customHeight="1" x14ac:dyDescent="0.35">
      <c r="A22" s="84"/>
      <c r="C22" s="58" t="str">
        <f>IF(D21+F21+H21+J21+L21=100,"RICHTIG",FALSE)</f>
        <v>RICHTIG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51"/>
      <c r="O22" s="2"/>
      <c r="P22" s="58" t="str">
        <f>IF(Q21+S21+U21+W21=100,"RICHTIG",FALSE)</f>
        <v>RICHTIG</v>
      </c>
      <c r="Q22" s="19"/>
      <c r="R22" s="20"/>
      <c r="S22" s="19"/>
      <c r="T22" s="20"/>
      <c r="U22" s="19"/>
      <c r="V22" s="20"/>
      <c r="W22" s="19"/>
      <c r="X22" s="20"/>
      <c r="Y22" s="51"/>
      <c r="AB22" s="88"/>
    </row>
    <row r="23" spans="1:28" ht="13.5" customHeight="1" x14ac:dyDescent="0.35">
      <c r="A23" s="84"/>
      <c r="C23" s="21"/>
      <c r="D23" s="22" t="s">
        <v>3</v>
      </c>
      <c r="E23" s="23" t="s">
        <v>4</v>
      </c>
      <c r="F23" s="22" t="s">
        <v>3</v>
      </c>
      <c r="G23" s="23" t="s">
        <v>4</v>
      </c>
      <c r="H23" s="22" t="s">
        <v>3</v>
      </c>
      <c r="I23" s="23" t="s">
        <v>4</v>
      </c>
      <c r="J23" s="22" t="s">
        <v>3</v>
      </c>
      <c r="K23" s="23" t="s">
        <v>4</v>
      </c>
      <c r="L23" s="22" t="s">
        <v>3</v>
      </c>
      <c r="M23" s="23" t="s">
        <v>4</v>
      </c>
      <c r="N23" s="69" t="s">
        <v>5</v>
      </c>
      <c r="O23" s="2"/>
      <c r="P23" s="21" t="s">
        <v>0</v>
      </c>
      <c r="Q23" s="22" t="s">
        <v>3</v>
      </c>
      <c r="R23" s="23" t="s">
        <v>4</v>
      </c>
      <c r="S23" s="22" t="s">
        <v>3</v>
      </c>
      <c r="T23" s="23" t="s">
        <v>4</v>
      </c>
      <c r="U23" s="22" t="s">
        <v>3</v>
      </c>
      <c r="V23" s="23" t="s">
        <v>4</v>
      </c>
      <c r="W23" s="22" t="s">
        <v>3</v>
      </c>
      <c r="X23" s="23" t="s">
        <v>4</v>
      </c>
      <c r="Y23" s="56" t="s">
        <v>6</v>
      </c>
      <c r="Z23" s="69" t="s">
        <v>50</v>
      </c>
      <c r="AB23" s="82"/>
    </row>
    <row r="24" spans="1:28" ht="23.25" customHeight="1" x14ac:dyDescent="0.35">
      <c r="A24" s="123" t="s">
        <v>38</v>
      </c>
      <c r="C24" s="13" t="str">
        <f>'Plausibilisierung BHU'!$C$13</f>
        <v>günstigstes Angebot</v>
      </c>
      <c r="D24" s="15">
        <v>4</v>
      </c>
      <c r="E24" s="16">
        <f>IF(ISBLANK(D24),"",D24*$D$21)</f>
        <v>400</v>
      </c>
      <c r="F24" s="15">
        <v>0</v>
      </c>
      <c r="G24" s="16">
        <f>IF(ISBLANK(F24),"",F24*$F$21)</f>
        <v>0</v>
      </c>
      <c r="H24" s="15">
        <v>0</v>
      </c>
      <c r="I24" s="17">
        <f>IF(ISBLANK(H24),"",H24*$H$21)</f>
        <v>0</v>
      </c>
      <c r="J24" s="15">
        <v>0</v>
      </c>
      <c r="K24" s="17">
        <f>IF(ISBLANK(J24),"",J24*$J$21)</f>
        <v>0</v>
      </c>
      <c r="L24" s="15">
        <v>0</v>
      </c>
      <c r="M24" s="17">
        <f>IF(ISBLANK(L24),"",L24*$L$21)</f>
        <v>0</v>
      </c>
      <c r="N24" s="67">
        <f>IF(ISBLANK(D24),"",ROUND(SUM(E24,G24,I24,K24,M24)/100,1))</f>
        <v>4</v>
      </c>
      <c r="O24" s="2"/>
      <c r="P24" s="13" t="str">
        <f>$C$13</f>
        <v>günstigstes Angebot</v>
      </c>
      <c r="Q24" s="24">
        <f>IF($H$13="","",IF(EXACT($Q$14,$K$11),$K$13,IF(EXACT($Q$14,$L$11),$L$13,$M$13)))</f>
        <v>5</v>
      </c>
      <c r="R24" s="70">
        <f>IF($D$13="","",Q24*Q21)</f>
        <v>150</v>
      </c>
      <c r="S24" s="24">
        <f>IF(ISBLANK($D$13),"",$N$24)</f>
        <v>4</v>
      </c>
      <c r="T24" s="70">
        <f>IF(ISBLANK($D$13),"",$S$24*$S$21)</f>
        <v>80</v>
      </c>
      <c r="U24" s="24">
        <f>IF(ISBLANK($D$13),"",$N$33)</f>
        <v>3</v>
      </c>
      <c r="V24" s="70">
        <f>IF(ISBLANK($D$13),"",$U$24*$U$21)</f>
        <v>60</v>
      </c>
      <c r="W24" s="24">
        <f>IF(ISBLANK($D$13),"",$N$42)</f>
        <v>3</v>
      </c>
      <c r="X24" s="70">
        <f>IF(ISBLANK($D$13),"",$W$24*$W$21)</f>
        <v>90</v>
      </c>
      <c r="Y24" s="60">
        <f>IF(ISBLANK($D$13),"",IF(ISBLANK(Q24),"",SUM(R24,T24,V24,X24)))</f>
        <v>380</v>
      </c>
      <c r="Z24" s="80"/>
      <c r="AB24" s="91" t="s">
        <v>39</v>
      </c>
    </row>
    <row r="25" spans="1:28" ht="23.25" customHeight="1" x14ac:dyDescent="0.35">
      <c r="A25" s="123"/>
      <c r="C25" s="25" t="str">
        <f>'Plausibilisierung BHU'!$C$14</f>
        <v>Angebot</v>
      </c>
      <c r="D25" s="53">
        <v>5</v>
      </c>
      <c r="E25" s="54">
        <f>IF(ISBLANK(D25),"",D25*$D$21)</f>
        <v>500</v>
      </c>
      <c r="F25" s="53">
        <v>0</v>
      </c>
      <c r="G25" s="54">
        <f>IF(ISBLANK(F25),"",F25*$F$21)</f>
        <v>0</v>
      </c>
      <c r="H25" s="53">
        <v>0</v>
      </c>
      <c r="I25" s="55">
        <f>IF(ISBLANK(H25),"",H25*$H$21)</f>
        <v>0</v>
      </c>
      <c r="J25" s="53">
        <v>0</v>
      </c>
      <c r="K25" s="55">
        <f>IF(ISBLANK(J25),"",J25*$J$21)</f>
        <v>0</v>
      </c>
      <c r="L25" s="53">
        <v>0</v>
      </c>
      <c r="M25" s="55">
        <f>IF(ISBLANK(L25),"",L25*$L$21)</f>
        <v>0</v>
      </c>
      <c r="N25" s="68">
        <f>IF(ISBLANK(D25),"",ROUND(SUM(E25,G25,I25,K25,M25)/100,1))</f>
        <v>5</v>
      </c>
      <c r="O25" s="2"/>
      <c r="P25" s="25" t="str">
        <f>$C$14</f>
        <v>Angebot</v>
      </c>
      <c r="Q25" s="26">
        <f>IF($H$14="","",IF(EXACT($Q$14,$K$11),$K$14,IF(EXACT($Q$14,$L$11),$L$14,$M$14)))</f>
        <v>1.6653816499614491</v>
      </c>
      <c r="R25" s="71">
        <f>IF($D$14="","",Q25*Q21)</f>
        <v>49.961449498843471</v>
      </c>
      <c r="S25" s="26">
        <f>IF(ISBLANK($D$13),"",$N$25)</f>
        <v>5</v>
      </c>
      <c r="T25" s="71">
        <f>IF(ISBLANK($D$13),"",$S$25*$S$21)</f>
        <v>100</v>
      </c>
      <c r="U25" s="26">
        <f>IF(ISBLANK($D$13),"",$N$34)</f>
        <v>5</v>
      </c>
      <c r="V25" s="71">
        <f>IF(ISBLANK($D$13),"",$U$25*$U$21)</f>
        <v>100</v>
      </c>
      <c r="W25" s="26">
        <f>IF(ISBLANK($D$13),"",$N$43)</f>
        <v>5</v>
      </c>
      <c r="X25" s="71">
        <f>IF(ISBLANK($D$13),"",$W$25*$W$21)</f>
        <v>150</v>
      </c>
      <c r="Y25" s="59">
        <f>IF(ISBLANK($D$14),"",IF(ISBLANK(Q25),"",SUM(R25,T25,V25,X25)))</f>
        <v>399.96144949884348</v>
      </c>
      <c r="Z25" s="81">
        <f>IF(ISBLANK($D$13),"",((T25+V25+X25-Y24)/Q21+5)*$D$13/(100*IF($Q$14=$M$11,0.05,IF($Q$14=$L$11,0.1,0.2)))+$D$13)</f>
        <v>168</v>
      </c>
      <c r="AB25" s="91"/>
    </row>
    <row r="26" spans="1:28" ht="14.25" customHeight="1" x14ac:dyDescent="0.35">
      <c r="A26" s="8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0"/>
      <c r="R26" s="2"/>
      <c r="S26" s="2"/>
      <c r="T26" s="2"/>
      <c r="U26" s="2"/>
      <c r="V26" s="2"/>
      <c r="W26" s="2"/>
      <c r="X26" s="2"/>
      <c r="Y26" s="2"/>
      <c r="AB26" s="82"/>
    </row>
    <row r="27" spans="1:28" ht="21" customHeight="1" x14ac:dyDescent="0.35">
      <c r="A27" s="84"/>
      <c r="C27" s="28" t="s">
        <v>44</v>
      </c>
      <c r="D27" s="5"/>
      <c r="E27" s="120" t="s">
        <v>53</v>
      </c>
      <c r="F27" s="120"/>
      <c r="G27" s="120"/>
      <c r="H27" s="5"/>
      <c r="I27" s="5"/>
      <c r="J27" s="5"/>
      <c r="K27" s="5"/>
      <c r="L27" s="5"/>
      <c r="M27" s="5"/>
      <c r="N27" s="2"/>
      <c r="O27" s="2"/>
      <c r="P27" s="9" t="s">
        <v>32</v>
      </c>
      <c r="Q27" s="40"/>
      <c r="R27" s="2"/>
      <c r="S27" s="2"/>
      <c r="T27" s="2"/>
      <c r="U27" s="2"/>
      <c r="V27" s="2"/>
      <c r="W27" s="2"/>
      <c r="X27" s="2"/>
      <c r="Y27" s="2"/>
      <c r="AB27" s="82"/>
    </row>
    <row r="28" spans="1:28" ht="7.5" customHeight="1" x14ac:dyDescent="0.35">
      <c r="A28" s="8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0"/>
      <c r="R28" s="2"/>
      <c r="S28" s="2"/>
      <c r="T28" s="2"/>
      <c r="U28" s="2"/>
      <c r="V28" s="2"/>
      <c r="W28" s="2"/>
      <c r="X28" s="2"/>
      <c r="Y28" s="2"/>
      <c r="AB28" s="82"/>
    </row>
    <row r="29" spans="1:28" ht="13.5" customHeight="1" x14ac:dyDescent="0.35">
      <c r="A29" s="84"/>
      <c r="C29" s="32"/>
      <c r="D29" s="121" t="s">
        <v>23</v>
      </c>
      <c r="E29" s="122"/>
      <c r="F29" s="121" t="s">
        <v>24</v>
      </c>
      <c r="G29" s="122"/>
      <c r="H29" s="121" t="s">
        <v>25</v>
      </c>
      <c r="I29" s="122"/>
      <c r="J29" s="121" t="s">
        <v>36</v>
      </c>
      <c r="K29" s="122"/>
      <c r="L29" s="121" t="s">
        <v>37</v>
      </c>
      <c r="M29" s="122"/>
      <c r="N29" s="50"/>
      <c r="O29" s="2"/>
      <c r="P29" s="52"/>
      <c r="Q29" s="124" t="s">
        <v>1</v>
      </c>
      <c r="R29" s="125"/>
      <c r="S29" s="124" t="str">
        <f>$E$18</f>
        <v>Fachkompetenz</v>
      </c>
      <c r="T29" s="125"/>
      <c r="U29" s="124" t="str">
        <f>$E$27</f>
        <v>Auftragsanalyse</v>
      </c>
      <c r="V29" s="125"/>
      <c r="W29" s="124" t="str">
        <f>$E$36</f>
        <v>Präsentation</v>
      </c>
      <c r="X29" s="125"/>
      <c r="Y29" s="50"/>
      <c r="AB29" s="91" t="s">
        <v>34</v>
      </c>
    </row>
    <row r="30" spans="1:28" ht="13.5" customHeight="1" x14ac:dyDescent="0.35">
      <c r="A30" s="84" t="s">
        <v>29</v>
      </c>
      <c r="C30" s="11" t="s">
        <v>2</v>
      </c>
      <c r="D30" s="126">
        <v>100</v>
      </c>
      <c r="E30" s="127"/>
      <c r="F30" s="126">
        <v>0</v>
      </c>
      <c r="G30" s="127"/>
      <c r="H30" s="126">
        <v>0</v>
      </c>
      <c r="I30" s="127"/>
      <c r="J30" s="126">
        <v>0</v>
      </c>
      <c r="K30" s="127"/>
      <c r="L30" s="126">
        <v>0</v>
      </c>
      <c r="M30" s="127"/>
      <c r="N30" s="50"/>
      <c r="O30" s="2"/>
      <c r="P30" s="11" t="s">
        <v>2</v>
      </c>
      <c r="Q30" s="128">
        <v>30</v>
      </c>
      <c r="R30" s="129"/>
      <c r="S30" s="128">
        <v>25</v>
      </c>
      <c r="T30" s="129"/>
      <c r="U30" s="128">
        <v>20</v>
      </c>
      <c r="V30" s="129"/>
      <c r="W30" s="128">
        <v>25</v>
      </c>
      <c r="X30" s="129"/>
      <c r="Y30" s="50"/>
      <c r="AB30" s="91"/>
    </row>
    <row r="31" spans="1:28" ht="13.5" customHeight="1" x14ac:dyDescent="0.35">
      <c r="A31" s="84"/>
      <c r="C31" s="58" t="str">
        <f>IF(D30+F30+H30+J30+L30=100,"RICHTIG",FALSE)</f>
        <v>RICHTIG</v>
      </c>
      <c r="D31" s="19"/>
      <c r="E31" s="20"/>
      <c r="F31" s="19"/>
      <c r="G31" s="20"/>
      <c r="H31" s="19"/>
      <c r="I31" s="20"/>
      <c r="J31" s="19"/>
      <c r="K31" s="20"/>
      <c r="L31" s="19"/>
      <c r="M31" s="20"/>
      <c r="N31" s="51"/>
      <c r="O31" s="2"/>
      <c r="P31" s="58" t="str">
        <f>IF(Q30+S30+U30+W30=100,"RICHTIG",FALSE)</f>
        <v>RICHTIG</v>
      </c>
      <c r="Q31" s="19"/>
      <c r="R31" s="20"/>
      <c r="S31" s="19"/>
      <c r="T31" s="20"/>
      <c r="U31" s="19"/>
      <c r="V31" s="20"/>
      <c r="W31" s="19"/>
      <c r="X31" s="20"/>
      <c r="Y31" s="51"/>
      <c r="AB31" s="82"/>
    </row>
    <row r="32" spans="1:28" ht="13.5" customHeight="1" x14ac:dyDescent="0.35">
      <c r="A32" s="84"/>
      <c r="C32" s="21"/>
      <c r="D32" s="22" t="s">
        <v>3</v>
      </c>
      <c r="E32" s="23" t="s">
        <v>4</v>
      </c>
      <c r="F32" s="22" t="s">
        <v>3</v>
      </c>
      <c r="G32" s="23" t="s">
        <v>4</v>
      </c>
      <c r="H32" s="22" t="s">
        <v>3</v>
      </c>
      <c r="I32" s="23" t="s">
        <v>4</v>
      </c>
      <c r="J32" s="22" t="s">
        <v>3</v>
      </c>
      <c r="K32" s="23" t="s">
        <v>4</v>
      </c>
      <c r="L32" s="22" t="s">
        <v>3</v>
      </c>
      <c r="M32" s="23" t="s">
        <v>4</v>
      </c>
      <c r="N32" s="69" t="s">
        <v>5</v>
      </c>
      <c r="O32" s="2"/>
      <c r="P32" s="21" t="s">
        <v>0</v>
      </c>
      <c r="Q32" s="22" t="s">
        <v>3</v>
      </c>
      <c r="R32" s="23" t="s">
        <v>4</v>
      </c>
      <c r="S32" s="22" t="s">
        <v>3</v>
      </c>
      <c r="T32" s="23" t="s">
        <v>4</v>
      </c>
      <c r="U32" s="22" t="s">
        <v>3</v>
      </c>
      <c r="V32" s="23" t="s">
        <v>4</v>
      </c>
      <c r="W32" s="22" t="s">
        <v>3</v>
      </c>
      <c r="X32" s="23" t="s">
        <v>4</v>
      </c>
      <c r="Y32" s="56" t="s">
        <v>6</v>
      </c>
      <c r="Z32" s="79" t="s">
        <v>50</v>
      </c>
      <c r="AB32" s="82"/>
    </row>
    <row r="33" spans="1:28" ht="23.25" customHeight="1" x14ac:dyDescent="0.35">
      <c r="A33" s="123" t="s">
        <v>38</v>
      </c>
      <c r="C33" s="13" t="str">
        <f>'Plausibilisierung BHU'!$C$13</f>
        <v>günstigstes Angebot</v>
      </c>
      <c r="D33" s="15">
        <v>3</v>
      </c>
      <c r="E33" s="16">
        <f>IF(ISBLANK(D33),"",D33*$D$30)</f>
        <v>300</v>
      </c>
      <c r="F33" s="15">
        <v>0</v>
      </c>
      <c r="G33" s="16">
        <f>IF(ISBLANK(F33),"",F33*$F$30)</f>
        <v>0</v>
      </c>
      <c r="H33" s="15"/>
      <c r="I33" s="17" t="str">
        <f>IF(ISBLANK(H33),"",H33*$H$30)</f>
        <v/>
      </c>
      <c r="J33" s="15"/>
      <c r="K33" s="17" t="str">
        <f>IF(ISBLANK(J33),"",J33*$J$30)</f>
        <v/>
      </c>
      <c r="L33" s="15"/>
      <c r="M33" s="17" t="str">
        <f>IF(ISBLANK(L33),"",L33*$L$30)</f>
        <v/>
      </c>
      <c r="N33" s="67">
        <f>IF(ISBLANK(D33),"",ROUND(SUM(E33,G33,I33,K33,M33)/100,1))</f>
        <v>3</v>
      </c>
      <c r="O33" s="2"/>
      <c r="P33" s="13" t="str">
        <f>$C$13</f>
        <v>günstigstes Angebot</v>
      </c>
      <c r="Q33" s="24">
        <f>IF($H$13="","",IF(EXACT($Q$14,$K$11),$K$13,IF(EXACT($Q$14,$L$11),$L$13,$M$13)))</f>
        <v>5</v>
      </c>
      <c r="R33" s="70">
        <f>IF($D$13="","",Q33*Q$30)</f>
        <v>150</v>
      </c>
      <c r="S33" s="24">
        <f>IF(ISBLANK($D$13),"",$N$24)</f>
        <v>4</v>
      </c>
      <c r="T33" s="70">
        <f>IF(ISBLANK($D$13),"",$S$33*$S$30)</f>
        <v>100</v>
      </c>
      <c r="U33" s="24">
        <f>IF(ISBLANK($D$13),"",$N$33)</f>
        <v>3</v>
      </c>
      <c r="V33" s="70">
        <f>IF(ISBLANK($D$13),"",$U$33*$U$30)</f>
        <v>60</v>
      </c>
      <c r="W33" s="24">
        <f>IF(ISBLANK($D$13),"",$N$42)</f>
        <v>3</v>
      </c>
      <c r="X33" s="70">
        <f>IF(ISBLANK($D$13),"",$W$33*$W$30)</f>
        <v>75</v>
      </c>
      <c r="Y33" s="77">
        <f>IF(ISBLANK($D$13),"",IF(ISBLANK(Q33),"",SUM(R33,T33,V33,X33)))</f>
        <v>385</v>
      </c>
      <c r="Z33" s="80"/>
      <c r="AB33" s="89" t="s">
        <v>30</v>
      </c>
    </row>
    <row r="34" spans="1:28" ht="23.25" customHeight="1" x14ac:dyDescent="0.35">
      <c r="A34" s="123"/>
      <c r="C34" s="25" t="str">
        <f>'Plausibilisierung BHU'!$C$14</f>
        <v>Angebot</v>
      </c>
      <c r="D34" s="53">
        <v>5</v>
      </c>
      <c r="E34" s="54">
        <f>IF(ISBLANK(D34),"",D34*$D$30)</f>
        <v>500</v>
      </c>
      <c r="F34" s="53">
        <v>0</v>
      </c>
      <c r="G34" s="54">
        <f>IF(ISBLANK(F34),"",F34*$F$30)</f>
        <v>0</v>
      </c>
      <c r="H34" s="53"/>
      <c r="I34" s="55" t="str">
        <f>IF(ISBLANK(H34),"",H34*$H$30)</f>
        <v/>
      </c>
      <c r="J34" s="53"/>
      <c r="K34" s="55" t="str">
        <f>IF(ISBLANK(J34),"",J34*$J$30)</f>
        <v/>
      </c>
      <c r="L34" s="53"/>
      <c r="M34" s="55" t="str">
        <f>IF(ISBLANK(L34),"",L34*$L$30)</f>
        <v/>
      </c>
      <c r="N34" s="68">
        <f>IF(ISBLANK(D34),"",ROUND(SUM(E34,G34,I34,K34,M34)/100,1))</f>
        <v>5</v>
      </c>
      <c r="O34" s="2"/>
      <c r="P34" s="25" t="str">
        <f>$C$14</f>
        <v>Angebot</v>
      </c>
      <c r="Q34" s="26">
        <f>IF($H$14="","",IF(EXACT($Q$14,$K$11),$K$14,IF(EXACT($Q$14,$L$11),$L$14,$M$14)))</f>
        <v>1.6653816499614491</v>
      </c>
      <c r="R34" s="71">
        <f>IF($D$14="","",Q34*Q$30)</f>
        <v>49.961449498843471</v>
      </c>
      <c r="S34" s="26">
        <f>IF(ISBLANK($D$13),"",$N$25)</f>
        <v>5</v>
      </c>
      <c r="T34" s="71">
        <f>IF(ISBLANK($D$13),"",$S$34*$S$30)</f>
        <v>125</v>
      </c>
      <c r="U34" s="26">
        <f>IF(ISBLANK($D$13),"",$N$34)</f>
        <v>5</v>
      </c>
      <c r="V34" s="71">
        <f>IF(ISBLANK($D$13),"",$U$34*$U$30)</f>
        <v>100</v>
      </c>
      <c r="W34" s="26">
        <f>IF(ISBLANK($D$13),"",$N$43)</f>
        <v>5</v>
      </c>
      <c r="X34" s="71">
        <f>IF(ISBLANK($D$13),"",$W$34*$W$30)</f>
        <v>125</v>
      </c>
      <c r="Y34" s="78">
        <f>IF(ISBLANK($D$14),"",IF(ISBLANK(Q34),"",SUM(R34,T34,V34,X34)))</f>
        <v>399.96144949884348</v>
      </c>
      <c r="Z34" s="81">
        <f>IF(ISBLANK($D$13),"",((T34+V34+X34-Y33)/Q30+5)*$D$13/(100*IF($Q$14=$M$11,0.05,IF($Q$14=$L$11,0.1,0.2)))+$D$13)</f>
        <v>166</v>
      </c>
      <c r="AB34" s="82"/>
    </row>
    <row r="35" spans="1:28" ht="14.25" customHeight="1" x14ac:dyDescent="0.35">
      <c r="A35" s="8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0"/>
      <c r="R35" s="2"/>
      <c r="S35" s="2"/>
      <c r="T35" s="2"/>
      <c r="U35" s="2"/>
      <c r="V35" s="2"/>
      <c r="W35" s="2"/>
      <c r="X35" s="2"/>
      <c r="Y35" s="2"/>
      <c r="AB35" s="82"/>
    </row>
    <row r="36" spans="1:28" ht="21" customHeight="1" x14ac:dyDescent="0.35">
      <c r="A36" s="84"/>
      <c r="C36" s="28" t="s">
        <v>45</v>
      </c>
      <c r="D36" s="5"/>
      <c r="E36" s="120" t="s">
        <v>54</v>
      </c>
      <c r="F36" s="120"/>
      <c r="G36" s="120"/>
      <c r="H36" s="5"/>
      <c r="I36" s="5"/>
      <c r="J36" s="5"/>
      <c r="K36" s="5"/>
      <c r="L36" s="5"/>
      <c r="M36" s="5"/>
      <c r="N36" s="2"/>
      <c r="O36" s="2"/>
      <c r="P36" s="9" t="s">
        <v>33</v>
      </c>
      <c r="Q36" s="40"/>
      <c r="R36" s="2"/>
      <c r="S36" s="2"/>
      <c r="T36" s="2"/>
      <c r="U36" s="2"/>
      <c r="V36" s="2"/>
      <c r="W36" s="2"/>
      <c r="X36" s="2"/>
      <c r="Y36" s="2"/>
      <c r="AB36" s="82"/>
    </row>
    <row r="37" spans="1:28" ht="7.5" customHeight="1" x14ac:dyDescent="0.35">
      <c r="A37" s="8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0"/>
      <c r="R37" s="2"/>
      <c r="S37" s="2"/>
      <c r="T37" s="2"/>
      <c r="U37" s="2"/>
      <c r="V37" s="2"/>
      <c r="W37" s="2"/>
      <c r="X37" s="2"/>
      <c r="Y37" s="2"/>
      <c r="AB37" s="82"/>
    </row>
    <row r="38" spans="1:28" ht="13.5" customHeight="1" x14ac:dyDescent="0.35">
      <c r="A38" s="84"/>
      <c r="C38" s="32"/>
      <c r="D38" s="121" t="s">
        <v>23</v>
      </c>
      <c r="E38" s="122"/>
      <c r="F38" s="121" t="s">
        <v>24</v>
      </c>
      <c r="G38" s="122"/>
      <c r="H38" s="121" t="s">
        <v>25</v>
      </c>
      <c r="I38" s="122"/>
      <c r="J38" s="121" t="s">
        <v>36</v>
      </c>
      <c r="K38" s="122"/>
      <c r="L38" s="121" t="s">
        <v>37</v>
      </c>
      <c r="M38" s="122"/>
      <c r="N38" s="50"/>
      <c r="O38" s="2"/>
      <c r="P38" s="52"/>
      <c r="Q38" s="124" t="s">
        <v>1</v>
      </c>
      <c r="R38" s="125"/>
      <c r="S38" s="124" t="str">
        <f>$E$18</f>
        <v>Fachkompetenz</v>
      </c>
      <c r="T38" s="125"/>
      <c r="U38" s="124" t="str">
        <f>$E$27</f>
        <v>Auftragsanalyse</v>
      </c>
      <c r="V38" s="125"/>
      <c r="W38" s="124" t="str">
        <f>$E$36</f>
        <v>Präsentation</v>
      </c>
      <c r="X38" s="125"/>
      <c r="Y38" s="50"/>
      <c r="AB38" s="82"/>
    </row>
    <row r="39" spans="1:28" ht="13.5" customHeight="1" x14ac:dyDescent="0.35">
      <c r="A39" s="84" t="s">
        <v>29</v>
      </c>
      <c r="C39" s="11" t="s">
        <v>2</v>
      </c>
      <c r="D39" s="126">
        <v>100</v>
      </c>
      <c r="E39" s="127"/>
      <c r="F39" s="126">
        <v>0</v>
      </c>
      <c r="G39" s="127"/>
      <c r="H39" s="126">
        <v>0</v>
      </c>
      <c r="I39" s="127"/>
      <c r="J39" s="126">
        <v>0</v>
      </c>
      <c r="K39" s="127"/>
      <c r="L39" s="126">
        <v>0</v>
      </c>
      <c r="M39" s="127"/>
      <c r="N39" s="50"/>
      <c r="O39" s="2"/>
      <c r="P39" s="11" t="s">
        <v>2</v>
      </c>
      <c r="Q39" s="128">
        <v>30</v>
      </c>
      <c r="R39" s="129"/>
      <c r="S39" s="128">
        <v>30</v>
      </c>
      <c r="T39" s="129"/>
      <c r="U39" s="128">
        <v>20</v>
      </c>
      <c r="V39" s="129"/>
      <c r="W39" s="128">
        <v>20</v>
      </c>
      <c r="X39" s="129"/>
      <c r="Y39" s="50"/>
      <c r="AB39" s="91" t="s">
        <v>35</v>
      </c>
    </row>
    <row r="40" spans="1:28" ht="13.5" customHeight="1" x14ac:dyDescent="0.35">
      <c r="A40" s="84"/>
      <c r="C40" s="58" t="str">
        <f>IF(D39+F39+H39+J39+L39=100,"RICHTIG",FALSE)</f>
        <v>RICHTIG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51"/>
      <c r="O40" s="2"/>
      <c r="P40" s="58" t="str">
        <f>IF(Q39+S39+U39+W39=100,"RICHTIG",FALSE)</f>
        <v>RICHTIG</v>
      </c>
      <c r="Q40" s="19"/>
      <c r="R40" s="20"/>
      <c r="S40" s="19"/>
      <c r="T40" s="20"/>
      <c r="U40" s="19"/>
      <c r="V40" s="20"/>
      <c r="W40" s="19"/>
      <c r="X40" s="20"/>
      <c r="Y40" s="51"/>
      <c r="AB40" s="91"/>
    </row>
    <row r="41" spans="1:28" ht="13.5" customHeight="1" x14ac:dyDescent="0.35">
      <c r="A41" s="84"/>
      <c r="C41" s="21"/>
      <c r="D41" s="22" t="s">
        <v>3</v>
      </c>
      <c r="E41" s="23" t="s">
        <v>4</v>
      </c>
      <c r="F41" s="22" t="s">
        <v>3</v>
      </c>
      <c r="G41" s="23" t="s">
        <v>4</v>
      </c>
      <c r="H41" s="22" t="s">
        <v>3</v>
      </c>
      <c r="I41" s="23" t="s">
        <v>4</v>
      </c>
      <c r="J41" s="22" t="s">
        <v>3</v>
      </c>
      <c r="K41" s="23" t="s">
        <v>4</v>
      </c>
      <c r="L41" s="22" t="s">
        <v>3</v>
      </c>
      <c r="M41" s="23" t="s">
        <v>4</v>
      </c>
      <c r="N41" s="69" t="s">
        <v>5</v>
      </c>
      <c r="O41" s="2"/>
      <c r="P41" s="21" t="s">
        <v>0</v>
      </c>
      <c r="Q41" s="22" t="s">
        <v>3</v>
      </c>
      <c r="R41" s="23" t="s">
        <v>4</v>
      </c>
      <c r="S41" s="22" t="s">
        <v>3</v>
      </c>
      <c r="T41" s="23" t="s">
        <v>4</v>
      </c>
      <c r="U41" s="22" t="s">
        <v>3</v>
      </c>
      <c r="V41" s="23" t="s">
        <v>4</v>
      </c>
      <c r="W41" s="22" t="s">
        <v>3</v>
      </c>
      <c r="X41" s="23" t="s">
        <v>4</v>
      </c>
      <c r="Y41" s="56" t="s">
        <v>6</v>
      </c>
      <c r="Z41" s="69" t="s">
        <v>50</v>
      </c>
      <c r="AB41" s="82"/>
    </row>
    <row r="42" spans="1:28" ht="23.25" customHeight="1" x14ac:dyDescent="0.35">
      <c r="A42" s="123" t="s">
        <v>38</v>
      </c>
      <c r="C42" s="13" t="str">
        <f>'Plausibilisierung BHU'!$C$13</f>
        <v>günstigstes Angebot</v>
      </c>
      <c r="D42" s="15">
        <v>3</v>
      </c>
      <c r="E42" s="16">
        <f>IF(ISBLANK(D42),"",D42*$D$39)</f>
        <v>300</v>
      </c>
      <c r="F42" s="15">
        <v>0</v>
      </c>
      <c r="G42" s="16">
        <f>IF(ISBLANK(F42),"",F42*$F$39)</f>
        <v>0</v>
      </c>
      <c r="H42" s="15"/>
      <c r="I42" s="16" t="str">
        <f>IF(ISBLANK(H42),"",H42*$H$39)</f>
        <v/>
      </c>
      <c r="J42" s="15"/>
      <c r="K42" s="16" t="str">
        <f>IF(ISBLANK(J42),"",J42*$J$39)</f>
        <v/>
      </c>
      <c r="L42" s="15"/>
      <c r="M42" s="16" t="str">
        <f>IF(ISBLANK(L42),"",L42*$L$39)</f>
        <v/>
      </c>
      <c r="N42" s="67">
        <f>IF(ISBLANK(D42),"",ROUND(SUM(E42,G42,I42,K42,M42)/100,1))</f>
        <v>3</v>
      </c>
      <c r="O42" s="2"/>
      <c r="P42" s="13" t="str">
        <f>$C$13</f>
        <v>günstigstes Angebot</v>
      </c>
      <c r="Q42" s="24">
        <f>IF($H$13="","",IF(EXACT($Q$14,$K$11),$K$13,IF(EXACT($Q$14,$L$11),$L$13,$M$13)))</f>
        <v>5</v>
      </c>
      <c r="R42" s="70">
        <f>IF($D$13="","",Q42*Q$39)</f>
        <v>150</v>
      </c>
      <c r="S42" s="24">
        <f>IF(ISBLANK($D$13),"",$N$24)</f>
        <v>4</v>
      </c>
      <c r="T42" s="70">
        <f>IF(ISBLANK($D$13),"",$S$42*$S$39)</f>
        <v>120</v>
      </c>
      <c r="U42" s="24">
        <f>IF(ISBLANK($D$13),"",$N$33)</f>
        <v>3</v>
      </c>
      <c r="V42" s="70">
        <f>IF(ISBLANK($D$13),"",$U$42*$U$39)</f>
        <v>60</v>
      </c>
      <c r="W42" s="24">
        <f>IF(ISBLANK($D$13),"",$N$42)</f>
        <v>3</v>
      </c>
      <c r="X42" s="70">
        <f>IF(ISBLANK($D$13),"",$W$42*$W$39)</f>
        <v>60</v>
      </c>
      <c r="Y42" s="57">
        <f>IF(ISBLANK($D$13),"",IF(ISBLANK(Q42),"",SUM(R42,T42,V42,X42)))</f>
        <v>390</v>
      </c>
      <c r="Z42" s="80"/>
      <c r="AB42" s="89" t="s">
        <v>30</v>
      </c>
    </row>
    <row r="43" spans="1:28" ht="23.25" customHeight="1" x14ac:dyDescent="0.35">
      <c r="A43" s="123"/>
      <c r="C43" s="25" t="str">
        <f>'Plausibilisierung BHU'!$C$14</f>
        <v>Angebot</v>
      </c>
      <c r="D43" s="53">
        <v>5</v>
      </c>
      <c r="E43" s="54">
        <f>IF(ISBLANK(D43),"",D43*$D$39)</f>
        <v>500</v>
      </c>
      <c r="F43" s="53">
        <v>0</v>
      </c>
      <c r="G43" s="54">
        <f>IF(ISBLANK(F43),"",F43*$F$39)</f>
        <v>0</v>
      </c>
      <c r="H43" s="53"/>
      <c r="I43" s="54" t="str">
        <f>IF(ISBLANK(H43),"",H43*$H$39)</f>
        <v/>
      </c>
      <c r="J43" s="53"/>
      <c r="K43" s="54" t="str">
        <f>IF(ISBLANK(J43),"",J43*$J$39)</f>
        <v/>
      </c>
      <c r="L43" s="53"/>
      <c r="M43" s="54" t="str">
        <f>IF(ISBLANK(L43),"",L43*$L$39)</f>
        <v/>
      </c>
      <c r="N43" s="68">
        <f>IF(ISBLANK(D43),"",ROUND(SUM(E43,G43,I43,K43,M43)/100,1))</f>
        <v>5</v>
      </c>
      <c r="O43" s="2"/>
      <c r="P43" s="25" t="str">
        <f>$C$14</f>
        <v>Angebot</v>
      </c>
      <c r="Q43" s="26">
        <f>IF($H$14="","",IF(EXACT($Q$14,$K$11),$K$14,IF(EXACT($Q$14,$L$11),$L$14,$M$14)))</f>
        <v>1.6653816499614491</v>
      </c>
      <c r="R43" s="71">
        <f>IF($D$14="","",Q43*Q$39)</f>
        <v>49.961449498843471</v>
      </c>
      <c r="S43" s="26">
        <f>IF(ISBLANK($D$13),"",$N$25)</f>
        <v>5</v>
      </c>
      <c r="T43" s="71">
        <f>IF(ISBLANK($D$13),"",$S$43*$S$39)</f>
        <v>150</v>
      </c>
      <c r="U43" s="26">
        <f>IF(ISBLANK($D$13),"",$N$34)</f>
        <v>5</v>
      </c>
      <c r="V43" s="71">
        <f>IF(ISBLANK($D$13),"",$U$43*$U$39)</f>
        <v>100</v>
      </c>
      <c r="W43" s="26">
        <f>IF(ISBLANK($D$13),"",$N$43)</f>
        <v>5</v>
      </c>
      <c r="X43" s="71">
        <f>IF(ISBLANK($D$13),"",$W$43*$W$39)</f>
        <v>100</v>
      </c>
      <c r="Y43" s="59">
        <f>IF(ISBLANK($D$14),"",IF(ISBLANK(Q43),"",SUM(R43,T43,V43,X43)))</f>
        <v>399.96144949884348</v>
      </c>
      <c r="Z43" s="81">
        <f>IF(ISBLANK($D$13),"",((T43+V43+X43-Y42)/Q39+5)*$D$13/(100*IF($Q$14=$M$11,0.05,IF($Q$14=$L$11,0.1,0.2)))+$D$13)</f>
        <v>164</v>
      </c>
      <c r="AB43" s="82"/>
    </row>
    <row r="44" spans="1:28" ht="13.5" customHeight="1" x14ac:dyDescent="0.35">
      <c r="C44" s="2"/>
      <c r="D44" s="40"/>
      <c r="E44" s="2"/>
      <c r="F44" s="2"/>
      <c r="G44" s="2"/>
      <c r="H44" s="2"/>
      <c r="I44" s="2"/>
      <c r="J44" s="2"/>
      <c r="K44" s="2"/>
      <c r="L44" s="2"/>
      <c r="M44" s="2"/>
      <c r="N44" s="2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B44" s="82"/>
    </row>
    <row r="45" spans="1:28" ht="34.5" customHeight="1" x14ac:dyDescent="0.3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B45" s="82"/>
    </row>
    <row r="46" spans="1:28" ht="13.5" x14ac:dyDescent="0.35">
      <c r="C46" s="9" t="s">
        <v>15</v>
      </c>
      <c r="D46" s="4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AB46" s="82"/>
    </row>
    <row r="47" spans="1:28" ht="13.5" x14ac:dyDescent="0.35">
      <c r="C47" s="47">
        <v>1.25</v>
      </c>
      <c r="D47" s="48" t="s">
        <v>18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B47" s="82"/>
    </row>
    <row r="48" spans="1:28" ht="13.5" x14ac:dyDescent="0.35">
      <c r="C48" s="47">
        <v>1.5</v>
      </c>
      <c r="D48" s="48" t="s">
        <v>19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3:25" ht="13.5" x14ac:dyDescent="0.35">
      <c r="C49" s="47">
        <v>2</v>
      </c>
      <c r="D49" s="48" t="s">
        <v>17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3:25" ht="13.5" x14ac:dyDescent="0.35">
      <c r="C50" s="2"/>
      <c r="D50" s="40"/>
      <c r="E50" s="2"/>
      <c r="F50" s="4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3:25" ht="13.5" x14ac:dyDescent="0.35">
      <c r="C51" s="2"/>
      <c r="D51" s="40"/>
      <c r="E51" s="2"/>
      <c r="F51" s="4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3:25" ht="13.5" x14ac:dyDescent="0.35">
      <c r="D52" s="7"/>
    </row>
    <row r="53" spans="3:25" ht="13.5" x14ac:dyDescent="0.35">
      <c r="D53" s="7"/>
    </row>
    <row r="54" spans="3:25" ht="13.5" x14ac:dyDescent="0.35">
      <c r="D54" s="7"/>
    </row>
    <row r="55" spans="3:25" ht="13.5" x14ac:dyDescent="0.35">
      <c r="D55" s="7"/>
    </row>
    <row r="56" spans="3:25" ht="13.5" x14ac:dyDescent="0.35"/>
    <row r="57" spans="3:25" ht="13.5" x14ac:dyDescent="0.35"/>
    <row r="58" spans="3:25" ht="13.5" x14ac:dyDescent="0.35"/>
    <row r="59" spans="3:25" ht="13.5" x14ac:dyDescent="0.35"/>
    <row r="60" spans="3:25" ht="13.5" x14ac:dyDescent="0.35"/>
    <row r="61" spans="3:25" ht="13.5" x14ac:dyDescent="0.35"/>
    <row r="62" spans="3:25" ht="13.5" x14ac:dyDescent="0.35"/>
    <row r="63" spans="3:25" ht="13.5" x14ac:dyDescent="0.35"/>
    <row r="64" spans="3:25" ht="13.5" x14ac:dyDescent="0.35"/>
    <row r="65" ht="13.5" x14ac:dyDescent="0.35"/>
    <row r="66" ht="13.5" x14ac:dyDescent="0.35"/>
    <row r="67" ht="13.5" x14ac:dyDescent="0.35"/>
    <row r="68" ht="13.5" x14ac:dyDescent="0.35"/>
    <row r="69" ht="13.5" x14ac:dyDescent="0.35"/>
    <row r="70" ht="13.5" x14ac:dyDescent="0.35"/>
    <row r="71" ht="13.5" x14ac:dyDescent="0.35"/>
    <row r="72" ht="13.5" x14ac:dyDescent="0.35"/>
    <row r="73" ht="13.5" x14ac:dyDescent="0.35"/>
    <row r="74" ht="13.5" x14ac:dyDescent="0.35"/>
    <row r="75" ht="13.5" x14ac:dyDescent="0.35"/>
    <row r="76" ht="13.5" x14ac:dyDescent="0.35"/>
    <row r="77" ht="13.5" x14ac:dyDescent="0.35"/>
    <row r="78" ht="13.5" x14ac:dyDescent="0.35"/>
    <row r="79" ht="13.5" x14ac:dyDescent="0.35"/>
    <row r="80" ht="13.5" x14ac:dyDescent="0.35"/>
    <row r="81" ht="13.5" x14ac:dyDescent="0.35"/>
    <row r="82" ht="13.5" x14ac:dyDescent="0.35"/>
    <row r="83" ht="13.5" x14ac:dyDescent="0.35"/>
    <row r="84" ht="13.5" x14ac:dyDescent="0.35"/>
    <row r="85" ht="13.5" x14ac:dyDescent="0.35"/>
    <row r="86" ht="13.5" x14ac:dyDescent="0.35"/>
    <row r="87" ht="13.5" x14ac:dyDescent="0.35"/>
    <row r="88" ht="13.5" x14ac:dyDescent="0.35"/>
    <row r="89" ht="13.5" x14ac:dyDescent="0.35"/>
    <row r="90" ht="13.5" x14ac:dyDescent="0.35"/>
    <row r="91" ht="13.5" x14ac:dyDescent="0.35"/>
    <row r="92" ht="13.5" x14ac:dyDescent="0.35"/>
    <row r="93" ht="13.5" x14ac:dyDescent="0.35"/>
    <row r="94" ht="13.5" x14ac:dyDescent="0.35"/>
    <row r="95" ht="13.5" x14ac:dyDescent="0.35"/>
    <row r="96" ht="13.5" x14ac:dyDescent="0.35"/>
    <row r="97" ht="13.5" x14ac:dyDescent="0.35"/>
    <row r="98" ht="13.5" x14ac:dyDescent="0.35"/>
    <row r="99" ht="13.5" x14ac:dyDescent="0.35"/>
    <row r="100" ht="13.5" x14ac:dyDescent="0.35"/>
    <row r="101" ht="13.5" x14ac:dyDescent="0.35"/>
    <row r="102" ht="13.5" x14ac:dyDescent="0.35"/>
    <row r="103" ht="13.5" x14ac:dyDescent="0.35"/>
    <row r="104" ht="13.5" x14ac:dyDescent="0.35"/>
    <row r="105" ht="13.5" x14ac:dyDescent="0.35"/>
    <row r="106" ht="13.5" x14ac:dyDescent="0.35"/>
    <row r="107" ht="13.5" x14ac:dyDescent="0.35"/>
    <row r="108" ht="13.5" x14ac:dyDescent="0.35"/>
    <row r="109" ht="13.5" x14ac:dyDescent="0.35"/>
    <row r="110" ht="13.5" x14ac:dyDescent="0.35"/>
    <row r="111" ht="13.5" x14ac:dyDescent="0.35"/>
    <row r="112" ht="13.5" x14ac:dyDescent="0.35"/>
    <row r="113" ht="13.5" x14ac:dyDescent="0.35"/>
    <row r="114" ht="13.5" x14ac:dyDescent="0.35"/>
    <row r="115" ht="13.5" x14ac:dyDescent="0.35"/>
    <row r="116" ht="13.5" x14ac:dyDescent="0.35"/>
    <row r="117" ht="13.5" x14ac:dyDescent="0.35"/>
    <row r="118" ht="13.5" x14ac:dyDescent="0.35"/>
    <row r="119" ht="13.5" x14ac:dyDescent="0.35"/>
    <row r="120" ht="13.5" x14ac:dyDescent="0.35"/>
    <row r="121" ht="13.5" x14ac:dyDescent="0.35"/>
    <row r="122" ht="13.5" x14ac:dyDescent="0.35"/>
    <row r="123" ht="13.5" x14ac:dyDescent="0.35"/>
    <row r="124" ht="13.5" x14ac:dyDescent="0.35"/>
    <row r="125" ht="13.5" x14ac:dyDescent="0.35"/>
    <row r="126" ht="13.5" x14ac:dyDescent="0.35"/>
    <row r="127" ht="13.5" x14ac:dyDescent="0.35"/>
    <row r="128" ht="13.5" x14ac:dyDescent="0.35"/>
    <row r="129" ht="13.5" x14ac:dyDescent="0.35"/>
    <row r="130" ht="13.5" x14ac:dyDescent="0.35"/>
    <row r="131" ht="13.5" x14ac:dyDescent="0.35"/>
    <row r="132" ht="13.5" x14ac:dyDescent="0.35"/>
    <row r="133" ht="13.5" x14ac:dyDescent="0.35"/>
    <row r="134" ht="13.5" x14ac:dyDescent="0.35"/>
    <row r="135" ht="13.5" x14ac:dyDescent="0.35"/>
    <row r="136" ht="13.5" x14ac:dyDescent="0.35"/>
    <row r="137" ht="13.5" x14ac:dyDescent="0.35"/>
    <row r="138" ht="13.5" x14ac:dyDescent="0.35"/>
    <row r="139" ht="13.5" x14ac:dyDescent="0.35"/>
    <row r="140" ht="13.5" x14ac:dyDescent="0.35"/>
    <row r="141" ht="13.5" x14ac:dyDescent="0.35"/>
    <row r="142" ht="13.5" x14ac:dyDescent="0.35"/>
    <row r="143" ht="13.5" x14ac:dyDescent="0.35"/>
    <row r="144" ht="13.5" x14ac:dyDescent="0.35"/>
    <row r="145" ht="13.5" x14ac:dyDescent="0.35"/>
    <row r="146" ht="13.5" x14ac:dyDescent="0.35"/>
    <row r="147" ht="13.5" x14ac:dyDescent="0.35"/>
    <row r="148" ht="13.5" x14ac:dyDescent="0.35"/>
    <row r="149" ht="13.5" x14ac:dyDescent="0.35"/>
    <row r="150" ht="13.5" x14ac:dyDescent="0.35"/>
    <row r="151" ht="13.5" x14ac:dyDescent="0.35"/>
    <row r="152" ht="13.5" x14ac:dyDescent="0.35"/>
    <row r="153" ht="13.5" x14ac:dyDescent="0.35"/>
    <row r="154" ht="13.5" x14ac:dyDescent="0.35"/>
    <row r="155" ht="13.5" x14ac:dyDescent="0.35"/>
    <row r="156" ht="13.5" x14ac:dyDescent="0.35"/>
    <row r="157" ht="13.5" x14ac:dyDescent="0.35"/>
    <row r="158" ht="13.5" x14ac:dyDescent="0.35"/>
    <row r="159" ht="13.5" x14ac:dyDescent="0.35"/>
    <row r="160" ht="13.5" x14ac:dyDescent="0.35"/>
    <row r="161" ht="13.5" x14ac:dyDescent="0.35"/>
    <row r="162" ht="13.5" x14ac:dyDescent="0.35"/>
    <row r="163" ht="13.5" x14ac:dyDescent="0.35"/>
    <row r="164" ht="13.5" x14ac:dyDescent="0.35"/>
    <row r="165" ht="13.5" x14ac:dyDescent="0.35"/>
    <row r="166" ht="13.5" x14ac:dyDescent="0.35"/>
    <row r="167" ht="13.5" x14ac:dyDescent="0.35"/>
    <row r="168" ht="13.5" x14ac:dyDescent="0.35"/>
    <row r="169" ht="13.5" x14ac:dyDescent="0.35"/>
    <row r="170" ht="13.5" x14ac:dyDescent="0.35"/>
    <row r="171" ht="13.5" x14ac:dyDescent="0.35"/>
    <row r="172" ht="13.5" x14ac:dyDescent="0.35"/>
    <row r="173" ht="13.5" x14ac:dyDescent="0.35"/>
    <row r="174" ht="13.5" x14ac:dyDescent="0.35"/>
    <row r="175" ht="13.5" x14ac:dyDescent="0.35"/>
    <row r="176" ht="13.5" x14ac:dyDescent="0.35"/>
    <row r="177" ht="13.5" x14ac:dyDescent="0.35"/>
    <row r="178" ht="13.5" x14ac:dyDescent="0.35"/>
    <row r="179" ht="13.5" x14ac:dyDescent="0.35"/>
    <row r="180" ht="13.5" hidden="1" x14ac:dyDescent="0.35"/>
    <row r="181" ht="13.5" hidden="1" x14ac:dyDescent="0.35"/>
    <row r="182" ht="13.5" hidden="1" x14ac:dyDescent="0.35"/>
    <row r="183" ht="13.5" hidden="1" x14ac:dyDescent="0.35"/>
    <row r="184" ht="13.5" hidden="1" x14ac:dyDescent="0.35"/>
    <row r="185" ht="13.5" hidden="1" x14ac:dyDescent="0.35"/>
    <row r="186" ht="13.5" hidden="1" x14ac:dyDescent="0.35"/>
    <row r="187" ht="13.5" hidden="1" x14ac:dyDescent="0.35"/>
    <row r="188" ht="13.5" x14ac:dyDescent="0.35"/>
    <row r="189" ht="13.5" x14ac:dyDescent="0.35"/>
    <row r="190" ht="13.5" x14ac:dyDescent="0.35"/>
    <row r="191" ht="13.5" x14ac:dyDescent="0.35"/>
    <row r="192" ht="13.5" x14ac:dyDescent="0.35"/>
    <row r="193" ht="13.5" x14ac:dyDescent="0.35"/>
    <row r="194" ht="13.5" x14ac:dyDescent="0.35"/>
    <row r="195" ht="13.5" x14ac:dyDescent="0.35"/>
    <row r="196" ht="13.5" x14ac:dyDescent="0.35"/>
    <row r="197" ht="13.5" x14ac:dyDescent="0.35"/>
    <row r="198" ht="13.5" x14ac:dyDescent="0.35"/>
    <row r="199" ht="13.5" x14ac:dyDescent="0.35"/>
    <row r="200" ht="13.5" x14ac:dyDescent="0.35"/>
    <row r="201" ht="13.5" x14ac:dyDescent="0.35"/>
    <row r="202" ht="13.5" x14ac:dyDescent="0.35"/>
    <row r="203" ht="13.5" x14ac:dyDescent="0.35"/>
    <row r="204" ht="13.5" x14ac:dyDescent="0.35"/>
    <row r="205" ht="13.5" x14ac:dyDescent="0.35"/>
    <row r="206" ht="13.5" x14ac:dyDescent="0.35"/>
    <row r="207" ht="13.5" x14ac:dyDescent="0.35"/>
    <row r="208" ht="13.5" x14ac:dyDescent="0.35"/>
    <row r="209" ht="13.5" x14ac:dyDescent="0.35"/>
    <row r="210" ht="13.5" x14ac:dyDescent="0.35"/>
    <row r="211" ht="13.5" x14ac:dyDescent="0.35"/>
    <row r="212" ht="13.5" x14ac:dyDescent="0.35"/>
    <row r="213" ht="13.5" x14ac:dyDescent="0.35"/>
    <row r="214" ht="13.5" x14ac:dyDescent="0.35"/>
    <row r="215" ht="13.5" x14ac:dyDescent="0.35"/>
    <row r="216" ht="13.5" x14ac:dyDescent="0.35"/>
    <row r="217" ht="13.5" x14ac:dyDescent="0.35"/>
    <row r="218" ht="13.5" x14ac:dyDescent="0.35"/>
    <row r="219" ht="13.5" x14ac:dyDescent="0.35"/>
    <row r="220" ht="13.5" x14ac:dyDescent="0.35"/>
    <row r="221" ht="13.5" x14ac:dyDescent="0.35"/>
    <row r="222" ht="13.5" x14ac:dyDescent="0.35"/>
    <row r="223" ht="13.5" x14ac:dyDescent="0.35"/>
    <row r="224" ht="13.5" x14ac:dyDescent="0.35"/>
    <row r="225" ht="13.5" x14ac:dyDescent="0.35"/>
    <row r="226" ht="13.5" x14ac:dyDescent="0.35"/>
    <row r="227" ht="13.5" x14ac:dyDescent="0.35"/>
    <row r="228" ht="13.5" x14ac:dyDescent="0.35"/>
    <row r="229" ht="13.5" x14ac:dyDescent="0.35"/>
    <row r="230" ht="13.5" x14ac:dyDescent="0.35"/>
    <row r="231" ht="13.5" x14ac:dyDescent="0.35"/>
    <row r="232" ht="13.5" x14ac:dyDescent="0.35"/>
    <row r="233" ht="13.5" x14ac:dyDescent="0.35"/>
    <row r="234" ht="13.5" x14ac:dyDescent="0.35"/>
    <row r="235" ht="13.5" x14ac:dyDescent="0.35"/>
    <row r="236" ht="13.5" x14ac:dyDescent="0.35"/>
    <row r="237" ht="13.5" x14ac:dyDescent="0.35"/>
    <row r="238" ht="13.5" x14ac:dyDescent="0.35"/>
    <row r="239" ht="13.5" x14ac:dyDescent="0.35"/>
    <row r="240" ht="13.5" x14ac:dyDescent="0.35"/>
    <row r="241" ht="13.5" x14ac:dyDescent="0.35"/>
    <row r="242" ht="13.5" x14ac:dyDescent="0.35"/>
    <row r="243" ht="13.5" x14ac:dyDescent="0.35"/>
    <row r="244" ht="13.5" x14ac:dyDescent="0.35"/>
    <row r="245" ht="13.5" x14ac:dyDescent="0.35"/>
    <row r="246" ht="13.5" x14ac:dyDescent="0.35"/>
    <row r="247" ht="13.5" x14ac:dyDescent="0.35"/>
    <row r="248" ht="13.5" x14ac:dyDescent="0.35"/>
    <row r="249" ht="13.5" x14ac:dyDescent="0.35"/>
    <row r="250" ht="13.5" x14ac:dyDescent="0.35"/>
    <row r="251" ht="13.5" x14ac:dyDescent="0.35"/>
    <row r="252" ht="13.5" x14ac:dyDescent="0.35"/>
    <row r="253" ht="13.5" x14ac:dyDescent="0.35"/>
    <row r="254" ht="13.5" x14ac:dyDescent="0.35"/>
    <row r="255" ht="13.5" x14ac:dyDescent="0.35"/>
    <row r="256" ht="13.5" x14ac:dyDescent="0.35"/>
    <row r="257" ht="13.5" x14ac:dyDescent="0.35"/>
    <row r="258" ht="13.5" x14ac:dyDescent="0.35"/>
    <row r="259" ht="13.5" x14ac:dyDescent="0.35"/>
    <row r="260" ht="13.5" x14ac:dyDescent="0.35"/>
    <row r="261" ht="13.5" x14ac:dyDescent="0.35"/>
    <row r="262" ht="13.5" x14ac:dyDescent="0.35"/>
    <row r="263" ht="13.5" x14ac:dyDescent="0.35"/>
    <row r="264" ht="13.5" x14ac:dyDescent="0.35"/>
    <row r="265" ht="13.5" x14ac:dyDescent="0.35"/>
    <row r="266" ht="13.5" x14ac:dyDescent="0.35"/>
    <row r="267" ht="13.5" x14ac:dyDescent="0.35"/>
    <row r="268" ht="13.5" x14ac:dyDescent="0.35"/>
    <row r="269" ht="13.5" x14ac:dyDescent="0.35"/>
    <row r="270" ht="13.5" x14ac:dyDescent="0.35"/>
    <row r="271" ht="13.5" x14ac:dyDescent="0.35"/>
    <row r="272" ht="13.5" x14ac:dyDescent="0.35"/>
    <row r="273" ht="13.5" x14ac:dyDescent="0.35"/>
    <row r="274" ht="13.5" x14ac:dyDescent="0.35"/>
  </sheetData>
  <dataConsolidate/>
  <mergeCells count="88">
    <mergeCell ref="AB39:AB40"/>
    <mergeCell ref="A42:A43"/>
    <mergeCell ref="D14:E14"/>
    <mergeCell ref="F10:G10"/>
    <mergeCell ref="F11:G11"/>
    <mergeCell ref="F12:G12"/>
    <mergeCell ref="F13:G13"/>
    <mergeCell ref="D10:E10"/>
    <mergeCell ref="D11:E11"/>
    <mergeCell ref="D12:E12"/>
    <mergeCell ref="D13:E13"/>
    <mergeCell ref="F16:G16"/>
    <mergeCell ref="H10:I10"/>
    <mergeCell ref="H11:I11"/>
    <mergeCell ref="H12:I12"/>
    <mergeCell ref="H13:I13"/>
    <mergeCell ref="A10:A15"/>
    <mergeCell ref="D15:E15"/>
    <mergeCell ref="D16:E16"/>
    <mergeCell ref="F14:G14"/>
    <mergeCell ref="F15:G15"/>
    <mergeCell ref="W38:X38"/>
    <mergeCell ref="D39:E39"/>
    <mergeCell ref="F39:G39"/>
    <mergeCell ref="H39:I39"/>
    <mergeCell ref="J39:K39"/>
    <mergeCell ref="L39:M39"/>
    <mergeCell ref="Q39:R39"/>
    <mergeCell ref="D38:E38"/>
    <mergeCell ref="F38:G38"/>
    <mergeCell ref="H38:I38"/>
    <mergeCell ref="J38:K38"/>
    <mergeCell ref="L38:M38"/>
    <mergeCell ref="S39:T39"/>
    <mergeCell ref="U39:V39"/>
    <mergeCell ref="W39:X39"/>
    <mergeCell ref="A33:A34"/>
    <mergeCell ref="E36:G36"/>
    <mergeCell ref="Q38:R38"/>
    <mergeCell ref="S38:T38"/>
    <mergeCell ref="U38:V38"/>
    <mergeCell ref="L29:M29"/>
    <mergeCell ref="Q29:R29"/>
    <mergeCell ref="S30:T30"/>
    <mergeCell ref="U30:V30"/>
    <mergeCell ref="W30:X30"/>
    <mergeCell ref="A24:A25"/>
    <mergeCell ref="AB24:AB25"/>
    <mergeCell ref="S29:T29"/>
    <mergeCell ref="U29:V29"/>
    <mergeCell ref="W29:X29"/>
    <mergeCell ref="AB29:AB30"/>
    <mergeCell ref="D30:E30"/>
    <mergeCell ref="F30:G30"/>
    <mergeCell ref="H30:I30"/>
    <mergeCell ref="J30:K30"/>
    <mergeCell ref="L30:M30"/>
    <mergeCell ref="Q30:R30"/>
    <mergeCell ref="D29:E29"/>
    <mergeCell ref="F29:G29"/>
    <mergeCell ref="H29:I29"/>
    <mergeCell ref="J29:K29"/>
    <mergeCell ref="E27:G27"/>
    <mergeCell ref="S20:T20"/>
    <mergeCell ref="U20:V20"/>
    <mergeCell ref="W20:X20"/>
    <mergeCell ref="AB20:AB21"/>
    <mergeCell ref="D21:E21"/>
    <mergeCell ref="F21:G21"/>
    <mergeCell ref="H21:I21"/>
    <mergeCell ref="J21:K21"/>
    <mergeCell ref="L21:M21"/>
    <mergeCell ref="Q21:R21"/>
    <mergeCell ref="L20:M20"/>
    <mergeCell ref="Q20:R20"/>
    <mergeCell ref="S21:T21"/>
    <mergeCell ref="U21:V21"/>
    <mergeCell ref="W21:X21"/>
    <mergeCell ref="I1:J1"/>
    <mergeCell ref="E18:G18"/>
    <mergeCell ref="D20:E20"/>
    <mergeCell ref="F20:G20"/>
    <mergeCell ref="H20:I20"/>
    <mergeCell ref="J20:K20"/>
    <mergeCell ref="C6:Z6"/>
    <mergeCell ref="H14:I14"/>
    <mergeCell ref="H15:I15"/>
    <mergeCell ref="H16:I16"/>
  </mergeCells>
  <conditionalFormatting sqref="C22">
    <cfRule type="cellIs" dxfId="40" priority="12" stopIfTrue="1" operator="equal">
      <formula>"RICHTIG"</formula>
    </cfRule>
  </conditionalFormatting>
  <conditionalFormatting sqref="C31">
    <cfRule type="cellIs" dxfId="39" priority="13" stopIfTrue="1" operator="equal">
      <formula>"RICHTIG"</formula>
    </cfRule>
  </conditionalFormatting>
  <conditionalFormatting sqref="C40">
    <cfRule type="cellIs" dxfId="38" priority="14" stopIfTrue="1" operator="equal">
      <formula>"RICHTIG"</formula>
    </cfRule>
  </conditionalFormatting>
  <conditionalFormatting sqref="D24:D25 F24:F25 H24:H25 J24:J25 L24:L25 D33:D34 F33:F34 H33:H34 J33:J34 L33:L34 D42:D43 F42:F43 H42:H43 J42:J43 L42:L43">
    <cfRule type="expression" dxfId="37" priority="3">
      <formula>"&gt;5"</formula>
    </cfRule>
    <cfRule type="cellIs" dxfId="36" priority="1" operator="greaterThan">
      <formula>5</formula>
    </cfRule>
  </conditionalFormatting>
  <conditionalFormatting sqref="E24:E25">
    <cfRule type="cellIs" dxfId="35" priority="44" stopIfTrue="1" operator="greaterThan">
      <formula>$D$10*5</formula>
    </cfRule>
    <cfRule type="expression" dxfId="34" priority="43" stopIfTrue="1">
      <formula>ISBLANK(D24)</formula>
    </cfRule>
  </conditionalFormatting>
  <conditionalFormatting sqref="E33">
    <cfRule type="expression" dxfId="33" priority="41" stopIfTrue="1">
      <formula>ISBLANK(D33)</formula>
    </cfRule>
    <cfRule type="cellIs" dxfId="32" priority="42" stopIfTrue="1" operator="greaterThan">
      <formula>$D$10*5</formula>
    </cfRule>
  </conditionalFormatting>
  <conditionalFormatting sqref="E42">
    <cfRule type="cellIs" dxfId="31" priority="34" stopIfTrue="1" operator="greaterThan">
      <formula>$D$10*5</formula>
    </cfRule>
    <cfRule type="expression" dxfId="30" priority="33" stopIfTrue="1">
      <formula>ISBLANK(D42)</formula>
    </cfRule>
  </conditionalFormatting>
  <conditionalFormatting sqref="G24:G25">
    <cfRule type="expression" dxfId="29" priority="21" stopIfTrue="1">
      <formula>ISBLANK(F24)</formula>
    </cfRule>
    <cfRule type="cellIs" dxfId="28" priority="22" stopIfTrue="1" operator="greaterThan">
      <formula>$D$10*5</formula>
    </cfRule>
  </conditionalFormatting>
  <conditionalFormatting sqref="G33">
    <cfRule type="cellIs" dxfId="27" priority="24" stopIfTrue="1" operator="greaterThan">
      <formula>$D$10*5</formula>
    </cfRule>
    <cfRule type="expression" dxfId="26" priority="23" stopIfTrue="1">
      <formula>ISBLANK(F33)</formula>
    </cfRule>
  </conditionalFormatting>
  <conditionalFormatting sqref="G42">
    <cfRule type="cellIs" dxfId="25" priority="30" stopIfTrue="1" operator="greaterThan">
      <formula>$D$10*5</formula>
    </cfRule>
    <cfRule type="expression" dxfId="24" priority="29" stopIfTrue="1">
      <formula>ISBLANK(F42)</formula>
    </cfRule>
  </conditionalFormatting>
  <conditionalFormatting sqref="I24:I25">
    <cfRule type="cellIs" dxfId="23" priority="112" stopIfTrue="1" operator="greaterThan">
      <formula>$H$10*5</formula>
    </cfRule>
    <cfRule type="expression" dxfId="22" priority="111" stopIfTrue="1">
      <formula>ISBLANK(H24)</formula>
    </cfRule>
  </conditionalFormatting>
  <conditionalFormatting sqref="I33:I34 K33:K34 M33:M34">
    <cfRule type="expression" dxfId="21" priority="105" stopIfTrue="1">
      <formula>ISBLANK(H33)</formula>
    </cfRule>
    <cfRule type="cellIs" dxfId="20" priority="106" stopIfTrue="1" operator="greaterThan">
      <formula>#REF!*5</formula>
    </cfRule>
  </conditionalFormatting>
  <conditionalFormatting sqref="I42">
    <cfRule type="expression" dxfId="19" priority="31" stopIfTrue="1">
      <formula>ISBLANK(H42)</formula>
    </cfRule>
    <cfRule type="cellIs" dxfId="18" priority="32" stopIfTrue="1" operator="greaterThan">
      <formula>$D$10*5</formula>
    </cfRule>
  </conditionalFormatting>
  <conditionalFormatting sqref="K24:K25">
    <cfRule type="cellIs" dxfId="17" priority="108" stopIfTrue="1" operator="greaterThan">
      <formula>$K$10*5</formula>
    </cfRule>
    <cfRule type="expression" dxfId="16" priority="107" stopIfTrue="1">
      <formula>ISBLANK(J24)</formula>
    </cfRule>
  </conditionalFormatting>
  <conditionalFormatting sqref="K42">
    <cfRule type="expression" dxfId="15" priority="27" stopIfTrue="1">
      <formula>ISBLANK(J42)</formula>
    </cfRule>
    <cfRule type="cellIs" dxfId="14" priority="28" stopIfTrue="1" operator="greaterThan">
      <formula>$D$10*5</formula>
    </cfRule>
  </conditionalFormatting>
  <conditionalFormatting sqref="M24:M25">
    <cfRule type="expression" dxfId="13" priority="109" stopIfTrue="1">
      <formula>ISBLANK(L24)</formula>
    </cfRule>
    <cfRule type="cellIs" dxfId="12" priority="110" stopIfTrue="1" operator="greaterThan">
      <formula>$M$10*5</formula>
    </cfRule>
  </conditionalFormatting>
  <conditionalFormatting sqref="M42">
    <cfRule type="cellIs" dxfId="11" priority="26" stopIfTrue="1" operator="greaterThan">
      <formula>$D$10*5</formula>
    </cfRule>
    <cfRule type="expression" dxfId="10" priority="25" stopIfTrue="1">
      <formula>ISBLANK(L42)</formula>
    </cfRule>
  </conditionalFormatting>
  <conditionalFormatting sqref="P21">
    <cfRule type="expression" priority="19">
      <formula>SUM($Q$21:$X$21)=100</formula>
    </cfRule>
    <cfRule type="expression" dxfId="9" priority="20">
      <formula>"summe($R$19:$Y$19)=100"</formula>
    </cfRule>
  </conditionalFormatting>
  <conditionalFormatting sqref="P22">
    <cfRule type="cellIs" dxfId="8" priority="18" stopIfTrue="1" operator="equal">
      <formula>"RICHTIG"</formula>
    </cfRule>
  </conditionalFormatting>
  <conditionalFormatting sqref="P31">
    <cfRule type="cellIs" dxfId="7" priority="16" stopIfTrue="1" operator="equal">
      <formula>"RICHTIG"</formula>
    </cfRule>
  </conditionalFormatting>
  <conditionalFormatting sqref="P40">
    <cfRule type="cellIs" dxfId="6" priority="15" stopIfTrue="1" operator="equal">
      <formula>"RICHTIG"</formula>
    </cfRule>
  </conditionalFormatting>
  <conditionalFormatting sqref="P24:Y24">
    <cfRule type="expression" dxfId="5" priority="5">
      <formula>$Y$24&gt;$Y$25</formula>
    </cfRule>
  </conditionalFormatting>
  <conditionalFormatting sqref="P25:Y25">
    <cfRule type="expression" dxfId="4" priority="4">
      <formula>$Y$25&gt;$Y$24</formula>
    </cfRule>
  </conditionalFormatting>
  <conditionalFormatting sqref="P33:Y33">
    <cfRule type="expression" dxfId="3" priority="8">
      <formula>$Y$33&gt;$Y$34</formula>
    </cfRule>
  </conditionalFormatting>
  <conditionalFormatting sqref="P34:Y34">
    <cfRule type="expression" dxfId="2" priority="7">
      <formula>$Y$34&gt;$Y$33</formula>
    </cfRule>
  </conditionalFormatting>
  <conditionalFormatting sqref="P42:Y42">
    <cfRule type="expression" dxfId="1" priority="11">
      <formula>$Y$42&gt;$Y$43</formula>
    </cfRule>
  </conditionalFormatting>
  <conditionalFormatting sqref="P43:Y43">
    <cfRule type="expression" dxfId="0" priority="10">
      <formula>$Y$43&gt;$Y$42</formula>
    </cfRule>
  </conditionalFormatting>
  <conditionalFormatting sqref="Y24:Y25">
    <cfRule type="colorScale" priority="6">
      <colorScale>
        <cfvo type="min"/>
        <cfvo type="max"/>
        <color theme="9" tint="0.59999389629810485"/>
        <color theme="9"/>
      </colorScale>
    </cfRule>
  </conditionalFormatting>
  <conditionalFormatting sqref="Y33:Y34">
    <cfRule type="colorScale" priority="9">
      <colorScale>
        <cfvo type="min"/>
        <cfvo type="max"/>
        <color theme="9" tint="0.59999389629810485"/>
        <color theme="9"/>
      </colorScale>
    </cfRule>
  </conditionalFormatting>
  <conditionalFormatting sqref="Y42:Y43">
    <cfRule type="colorScale" priority="17">
      <colorScale>
        <cfvo type="min"/>
        <cfvo type="max"/>
        <color theme="9" tint="0.59999389629810485"/>
        <color theme="9"/>
      </colorScale>
    </cfRule>
  </conditionalFormatting>
  <dataValidations count="1">
    <dataValidation type="list" allowBlank="1" showInputMessage="1" showErrorMessage="1" promptTitle="Preiskurve auswählen" sqref="Q14" xr:uid="{00000000-0002-0000-0000-000000000000}">
      <formula1>$C$47:$C$49</formula1>
    </dataValidation>
  </dataValidations>
  <printOptions horizontalCentered="1" verticalCentered="1"/>
  <pageMargins left="0.25" right="0.25" top="0.75" bottom="0.75" header="0.3" footer="0.3"/>
  <pageSetup paperSize="8" scale="75" orientation="landscape" r:id="rId1"/>
  <headerFooter alignWithMargins="0">
    <oddFooter>&amp;L&amp;6&amp;D&amp;C&amp;"Arial,Fett"&amp;8&amp;A&amp;R&amp;"Arial,Fett"&amp;8&amp;F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148DA00457824EA85DDB6A8E8F551C" ma:contentTypeVersion="11" ma:contentTypeDescription="Ein neues Dokument erstellen." ma:contentTypeScope="" ma:versionID="55c5cd7a95280f0871b53f91ce7b75bf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63a4aeeb398ec394d1cd5ab32155ed3d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1EA4F-67D6-47F8-BE76-3103A2622B2C}">
  <ds:schemaRefs>
    <ds:schemaRef ds:uri="http://schemas.microsoft.com/office/2006/metadata/properties"/>
    <ds:schemaRef ds:uri="http://schemas.microsoft.com/office/infopath/2007/PartnerControls"/>
    <ds:schemaRef ds:uri="b1566e0e-cb7e-43d9-bcd7-aeb4d7e7cd7f"/>
    <ds:schemaRef ds:uri="3b5ab623-3b44-4715-9ecf-8e9c542c2522"/>
    <ds:schemaRef ds:uri="bc24777f-78b6-4f3c-a73a-d5fa08e4d537"/>
    <ds:schemaRef ds:uri="c9077d15-72ed-4fec-bcfe-3472729e9195"/>
  </ds:schemaRefs>
</ds:datastoreItem>
</file>

<file path=customXml/itemProps2.xml><?xml version="1.0" encoding="utf-8"?>
<ds:datastoreItem xmlns:ds="http://schemas.openxmlformats.org/officeDocument/2006/customXml" ds:itemID="{21A3A07C-1E69-447E-B3A2-ABB71DE039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24ADA-9237-4EC9-990A-AAF0756D1AA7}"/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Plausibilisierung Honorar</vt:lpstr>
      <vt:lpstr>Plausibilisierung BHU</vt:lpstr>
      <vt:lpstr>'Plausibilisierung BHU'!Druckbereich</vt:lpstr>
      <vt:lpstr>'Plausibilisierung Honorar'!Druckbereich</vt:lpstr>
      <vt:lpstr>'Plausibilisierung BHU'!MwSt</vt:lpstr>
      <vt:lpstr>'Plausibilisierung Honorar'!MwSt</vt:lpstr>
      <vt:lpstr>'Plausibilisierung BHU'!Objektname</vt:lpstr>
      <vt:lpstr>'Plausibilisierung Honorar'!Objektname</vt:lpstr>
    </vt:vector>
  </TitlesOfParts>
  <Company>smt+partner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Heimberg Sabina</dc:creator>
  <cp:lastModifiedBy>Patric Schmid</cp:lastModifiedBy>
  <cp:lastPrinted>2017-06-21T13:32:54Z</cp:lastPrinted>
  <dcterms:created xsi:type="dcterms:W3CDTF">2003-03-11T16:15:36Z</dcterms:created>
  <dcterms:modified xsi:type="dcterms:W3CDTF">2025-02-11T08:23:43Z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0x0101006A148DA00457824EA85DDB6A8E8F551C</vt:lpwstr>
  </property>
  <property fmtid="{D5CDD505-2E9C-101B-9397-08002B2CF9AE}" pid="4" name="MediaServiceImageTags">
    <vt:lpwstr/>
  </property>
</Properties>
</file>